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tt\Downloads\"/>
    </mc:Choice>
  </mc:AlternateContent>
  <xr:revisionPtr revIDLastSave="0" documentId="8_{B43C71CC-E1DF-4670-B7A6-8D8C629F0050}" xr6:coauthVersionLast="47" xr6:coauthVersionMax="47" xr10:uidLastSave="{00000000-0000-0000-0000-000000000000}"/>
  <bookViews>
    <workbookView xWindow="-110" yWindow="-110" windowWidth="25180" windowHeight="16140" xr2:uid="{F942D3DC-6C74-43E9-ABF5-43833B6C8677}"/>
  </bookViews>
  <sheets>
    <sheet name="SAFE Stack Cap Table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23" i="1" l="1"/>
  <c r="O24" i="1"/>
  <c r="E31" i="1"/>
  <c r="N31" i="1"/>
  <c r="E32" i="1"/>
  <c r="E49" i="1" s="1"/>
  <c r="N32" i="1"/>
  <c r="E33" i="1"/>
  <c r="N33" i="1"/>
  <c r="K39" i="1"/>
  <c r="K40" i="1"/>
  <c r="D49" i="1"/>
  <c r="D57" i="1"/>
  <c r="O25" i="1" l="1"/>
  <c r="O28" i="1"/>
  <c r="O31" i="1"/>
  <c r="O32" i="1"/>
  <c r="O33" i="1"/>
  <c r="K36" i="1"/>
  <c r="M36" i="1"/>
  <c r="N36" i="1"/>
  <c r="O36" i="1"/>
  <c r="K37" i="1"/>
  <c r="M37" i="1"/>
  <c r="N37" i="1"/>
  <c r="O37" i="1"/>
  <c r="K38" i="1"/>
  <c r="M38" i="1"/>
  <c r="N38" i="1"/>
  <c r="O38" i="1"/>
  <c r="M39" i="1"/>
  <c r="N39" i="1"/>
  <c r="O39" i="1"/>
  <c r="M40" i="1"/>
  <c r="N40" i="1"/>
  <c r="O40" i="1"/>
  <c r="M43" i="1"/>
  <c r="N43" i="1"/>
  <c r="O43" i="1"/>
  <c r="M47" i="1"/>
  <c r="N47" i="1"/>
  <c r="O47" i="1"/>
  <c r="M49" i="1"/>
  <c r="N49" i="1"/>
  <c r="O49" i="1"/>
  <c r="D58" i="1"/>
  <c r="E58" i="1"/>
  <c r="D59" i="1"/>
  <c r="E59" i="1"/>
  <c r="D60" i="1"/>
  <c r="E60" i="1"/>
  <c r="D61" i="1"/>
  <c r="D64" i="1"/>
  <c r="E64" i="1"/>
  <c r="D65" i="1"/>
  <c r="E65" i="1"/>
  <c r="D66" i="1"/>
  <c r="E66" i="1"/>
  <c r="D67" i="1"/>
  <c r="E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 Gill</author>
  </authors>
  <commentList>
    <comment ref="O25" authorId="0" shapeId="0" xr:uid="{65C26661-6E2C-49AE-9358-2F97A89A051B}">
      <text>
        <r>
          <rPr>
            <sz val="9"/>
            <color indexed="81"/>
            <rFont val="Tahoma"/>
            <family val="2"/>
          </rPr>
          <t>Price per share = pre-money / pre-money FD. No rounding here to help the iterative calculations of excel inside the circular loop.</t>
        </r>
      </text>
    </comment>
    <comment ref="O28" authorId="0" shapeId="0" xr:uid="{ED90B1A9-1179-4CBC-9688-EEC2CCC467A1}">
      <text>
        <r>
          <rPr>
            <sz val="9"/>
            <color indexed="81"/>
            <rFont val="Tahoma"/>
            <family val="2"/>
          </rPr>
          <t>Pre-money fully-diluted shares = founders (D32) + all converted SAFE shares. Post-round option pool is issued AFTER pricing, so it is correctly excluded from the pre-money base. Drives price-per-share N13.</t>
        </r>
      </text>
    </comment>
    <comment ref="M36" authorId="0" shapeId="0" xr:uid="{358647C7-FD21-438C-8EA2-0C36BB77C564}">
      <text>
        <r>
          <rPr>
            <sz val="9"/>
            <color indexed="81"/>
            <rFont val="Tahoma"/>
            <family val="2"/>
          </rPr>
          <t>Post-money SAFE conversion (YC standard). No rounding as this cell is inside the circular price loop (M-&gt;O16-&gt;O13-&gt;M); rounding here can prevent iterative convergence.
- Uncapped (cap=0): discount leg = Amount/(price x (1-disc)).
- Capped, no discount: cap leg = (Amount/Cap) x pre-money FD, no MAX.
- Capped + discount: greater of the two legs.</t>
        </r>
      </text>
    </comment>
    <comment ref="M47" authorId="0" shapeId="0" xr:uid="{6096EE9B-BA64-49BE-B29E-D69903C95811}">
      <text>
        <r>
          <rPr>
            <sz val="9"/>
            <color indexed="81"/>
            <rFont val="Tahoma"/>
            <family val="2"/>
          </rPr>
          <t>Post-round option pool, pool / post-round total (O32) = target % (N14)</t>
        </r>
      </text>
    </comment>
  </commentList>
</comments>
</file>

<file path=xl/sharedStrings.xml><?xml version="1.0" encoding="utf-8"?>
<sst xmlns="http://schemas.openxmlformats.org/spreadsheetml/2006/main" count="70" uniqueCount="69">
  <si>
    <t xml:space="preserve">  Total</t>
  </si>
  <si>
    <t xml:space="preserve">  Option pool</t>
  </si>
  <si>
    <t xml:space="preserve">  New investors</t>
  </si>
  <si>
    <t xml:space="preserve">  SAFE stacking</t>
  </si>
  <si>
    <t>Share of all dilution</t>
  </si>
  <si>
    <t>% of company</t>
  </si>
  <si>
    <t>Dilution attributed to:</t>
  </si>
  <si>
    <t>Total founder dilution</t>
  </si>
  <si>
    <t>4. After option pool (final)</t>
  </si>
  <si>
    <t>3. After new investors</t>
  </si>
  <si>
    <t>2. After SAFEs convert (pre-money)</t>
  </si>
  <si>
    <t>1. At formation</t>
  </si>
  <si>
    <t>Absolute Dilution</t>
  </si>
  <si>
    <t>Founder Own %</t>
  </si>
  <si>
    <t>Stage</t>
  </si>
  <si>
    <t>Founder ownership through each stage of the raise. Shows how much of the founders' formation stake is given up to SAFEs, new investors, and the option pool.</t>
  </si>
  <si>
    <t>FOUNDER DILUTION SUMMARY</t>
  </si>
  <si>
    <t>should be 100%!</t>
  </si>
  <si>
    <t>Shares Issued</t>
  </si>
  <si>
    <t>Option Pool (Ordinary)</t>
  </si>
  <si>
    <t>New investors</t>
  </si>
  <si>
    <t>PRICED ROUND</t>
  </si>
  <si>
    <t>SAFE E (spare)</t>
  </si>
  <si>
    <t>SAFE D (spare)</t>
  </si>
  <si>
    <t>SAFE C</t>
  </si>
  <si>
    <t>SAFE B</t>
  </si>
  <si>
    <t>SAFE A</t>
  </si>
  <si>
    <t>SAFE INVESTORS (Post-Money)</t>
  </si>
  <si>
    <t>Other (spare)</t>
  </si>
  <si>
    <t>Co-founder 2</t>
  </si>
  <si>
    <t>Co-founder 1</t>
  </si>
  <si>
    <t>Final Ownership (FD)</t>
  </si>
  <si>
    <t>Total Shares</t>
  </si>
  <si>
    <t>Discount %</t>
  </si>
  <si>
    <t>Post-money Cap</t>
  </si>
  <si>
    <t>Amount</t>
  </si>
  <si>
    <t>Ownership (FD)</t>
  </si>
  <si>
    <t>Shares (Common)</t>
  </si>
  <si>
    <t>FOUNDERS &amp; EARLY COMMON</t>
  </si>
  <si>
    <t>Conversion at Priced Round</t>
  </si>
  <si>
    <t>SAFE Conversion Driver</t>
  </si>
  <si>
    <t>SAFE Issuance</t>
  </si>
  <si>
    <t>Company Formation</t>
  </si>
  <si>
    <t>Company Capitalisation (SAFE defined term)</t>
  </si>
  <si>
    <t>Enter 0 for no discount</t>
  </si>
  <si>
    <t>Enter 0 for uncapped</t>
  </si>
  <si>
    <t>Target option pool (post round)</t>
  </si>
  <si>
    <t>Price per share (priced round)</t>
  </si>
  <si>
    <t>Post-money valuation</t>
  </si>
  <si>
    <t>Total SAFE money raised</t>
  </si>
  <si>
    <t>Lead investor cheque</t>
  </si>
  <si>
    <t>Pre-money valuation (priced round)</t>
  </si>
  <si>
    <t>£</t>
  </si>
  <si>
    <t>Currency</t>
  </si>
  <si>
    <t>Pays the full round price: Amount ÷ round price</t>
  </si>
  <si>
    <t>Uncapped, no discount</t>
  </si>
  <si>
    <t>Priced round date</t>
  </si>
  <si>
    <t>Always the discounted round price: Amount ÷ (round price × (1−disc))</t>
  </si>
  <si>
    <t>Discount only (no cap)</t>
  </si>
  <si>
    <t>Converts at the lower of the cap price and the discounted round price, whichever gives the investor more shares</t>
  </si>
  <si>
    <t>Cap + discount</t>
  </si>
  <si>
    <t>Cap fixes the SAFE's % of the company immediately BEFORE new money (incl. all other converting SAFEs)</t>
  </si>
  <si>
    <t>Cap only</t>
  </si>
  <si>
    <t>Priced Round</t>
  </si>
  <si>
    <t>What it converts on</t>
  </si>
  <si>
    <t>SAFE type</t>
  </si>
  <si>
    <t>This is an illustration of conversion mechanics using YC standard post-money SAFEs and not a valuation tool or legal advice. Key points to understand:
1 -  The calculation is circular: each SAFE's shares depend on the total pre-financing capitalisation, which depends on each SAFE's shares issued. The model solves this iteratively. 
2 - The SAFE levers that bind, the cap or discount, depends entirely on where the round prices against each cap i.e. a SAFE converts on its discount because the round priced below its cap but change the pre-money and the answer changes. 
3 - Models ownership only. There is nothing about liquidation preferences, MFN clauses, pro-rata rights or side letters, any of which can matter more than these percentages in a real exit. 
4 - UK founders: ASAs are not SAFEs. ASAs have different mechanics, and a 6-month longstop if you want SEIS/EIS relief.
5 - CLNs are also different but could be seen as having a similar dilution effect when stacked and interest accrued into the conversion.</t>
  </si>
  <si>
    <t>This tab models the impact of stacking YC standard post-money SAFEs ahead of a priced round. 
Purple cells are areas for inputs. ENSURE ITERATIVE CALCULATION IS ON -&gt; Excel: File → Options → Formulas → Enable iterative calculation. Sheets: File → Settings → Calculation → Iterative calculation: On.</t>
  </si>
  <si>
    <t>[Company] SAFE Stack Cap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</si>
</sst>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0.0%;\(0.0%\)"/>
    <numFmt numFmtId="166" formatCode="_-* #,##0_-;\-* #,##0_-;_-* &quot;-&quot;??_-;_-@_-"/>
    <numFmt numFmtId="167" formatCode="[$£]#,##0"/>
    <numFmt numFmtId="168" formatCode="[$£]#,##0.000000"/>
  </numFmts>
  <fonts count="14" x14ac:knownFonts="1">
    <font>
      <sz val="10"/>
      <color rgb="FF000000"/>
      <name val="Century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Century"/>
      <family val="1"/>
      <scheme val="minor"/>
    </font>
    <font>
      <b/>
      <sz val="10"/>
      <name val="Calibri"/>
      <family val="2"/>
    </font>
    <font>
      <i/>
      <sz val="10"/>
      <color rgb="FF3F0AAD"/>
      <name val="Calibri"/>
      <family val="2"/>
    </font>
    <font>
      <b/>
      <sz val="11"/>
      <color rgb="FFB9B9FA"/>
      <name val="Calibri"/>
      <family val="2"/>
    </font>
    <font>
      <i/>
      <sz val="10"/>
      <color theme="5" tint="-0.499984740745262"/>
      <name val="Calibri"/>
      <family val="2"/>
    </font>
    <font>
      <sz val="10"/>
      <color rgb="FF000000"/>
      <name val="Century"/>
      <family val="1"/>
      <scheme val="minor"/>
    </font>
    <font>
      <sz val="10"/>
      <color rgb="FF3F0AAD"/>
      <name val="Calibri"/>
      <family val="2"/>
    </font>
    <font>
      <b/>
      <sz val="10"/>
      <color rgb="FFB9B9FA"/>
      <name val="Calibri"/>
      <family val="2"/>
    </font>
    <font>
      <i/>
      <sz val="8"/>
      <color theme="5"/>
      <name val="Century"/>
      <family val="1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126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CE3FD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164" fontId="1" fillId="0" borderId="0" xfId="0" applyNumberFormat="1" applyFont="1" applyAlignment="1">
      <alignment horizontal="center"/>
    </xf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165" fontId="5" fillId="2" borderId="1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6" fillId="2" borderId="0" xfId="0" applyFont="1" applyFill="1" applyAlignment="1">
      <alignment vertical="top" wrapText="1"/>
    </xf>
    <xf numFmtId="10" fontId="2" fillId="2" borderId="0" xfId="0" applyNumberFormat="1" applyFont="1" applyFill="1" applyAlignment="1">
      <alignment horizontal="center"/>
    </xf>
    <xf numFmtId="0" fontId="0" fillId="3" borderId="0" xfId="0" applyFill="1"/>
    <xf numFmtId="0" fontId="7" fillId="3" borderId="0" xfId="0" applyFont="1" applyFill="1"/>
    <xf numFmtId="0" fontId="8" fillId="2" borderId="0" xfId="0" applyFont="1" applyFill="1" applyAlignment="1">
      <alignment horizontal="left" vertical="center"/>
    </xf>
    <xf numFmtId="10" fontId="1" fillId="4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/>
    </xf>
    <xf numFmtId="10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right"/>
    </xf>
    <xf numFmtId="10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0" fontId="2" fillId="2" borderId="0" xfId="3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166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167" fontId="10" fillId="5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/>
    <xf numFmtId="166" fontId="10" fillId="2" borderId="0" xfId="0" applyNumberFormat="1" applyFont="1" applyFill="1" applyAlignment="1">
      <alignment horizontal="center"/>
    </xf>
    <xf numFmtId="166" fontId="10" fillId="5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4" fontId="11" fillId="3" borderId="0" xfId="2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10" fontId="10" fillId="5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12" fillId="2" borderId="0" xfId="1" applyNumberFormat="1" applyFont="1" applyFill="1" applyAlignment="1">
      <alignment vertical="center" wrapText="1"/>
    </xf>
    <xf numFmtId="168" fontId="3" fillId="2" borderId="4" xfId="0" applyNumberFormat="1" applyFont="1" applyFill="1" applyBorder="1" applyAlignment="1">
      <alignment horizontal="center"/>
    </xf>
    <xf numFmtId="167" fontId="2" fillId="2" borderId="4" xfId="0" applyNumberFormat="1" applyFont="1" applyFill="1" applyBorder="1" applyAlignment="1">
      <alignment horizontal="center"/>
    </xf>
    <xf numFmtId="167" fontId="10" fillId="5" borderId="4" xfId="0" applyNumberFormat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10" fillId="5" borderId="3" xfId="0" applyFont="1" applyFill="1" applyBorder="1" applyAlignment="1">
      <alignment horizontal="center"/>
    </xf>
    <xf numFmtId="0" fontId="8" fillId="2" borderId="0" xfId="0" applyFont="1" applyFill="1"/>
    <xf numFmtId="17" fontId="10" fillId="5" borderId="4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11" fillId="3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 cent" xfId="3" builtinId="5"/>
  </cellStyles>
  <dxfs count="2">
    <dxf>
      <font>
        <color rgb="FF006100"/>
      </font>
      <fill>
        <patternFill patternType="solid">
          <fgColor indexed="64"/>
          <bgColor rgb="FFC6EFCE"/>
        </patternFill>
      </fill>
    </dxf>
    <dxf>
      <font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layfair Capital MS365">
  <a:themeElements>
    <a:clrScheme name="Playfair">
      <a:dk1>
        <a:srgbClr val="31261D"/>
      </a:dk1>
      <a:lt1>
        <a:srgbClr val="31261D"/>
      </a:lt1>
      <a:dk2>
        <a:srgbClr val="B9B9FA"/>
      </a:dk2>
      <a:lt2>
        <a:srgbClr val="B5D3C8"/>
      </a:lt2>
      <a:accent1>
        <a:srgbClr val="B9B9FA"/>
      </a:accent1>
      <a:accent2>
        <a:srgbClr val="A176F7"/>
      </a:accent2>
      <a:accent3>
        <a:srgbClr val="23DEB0"/>
      </a:accent3>
      <a:accent4>
        <a:srgbClr val="EC613F"/>
      </a:accent4>
      <a:accent5>
        <a:srgbClr val="C7CFBF"/>
      </a:accent5>
      <a:accent6>
        <a:srgbClr val="F9E894"/>
      </a:accent6>
      <a:hlink>
        <a:srgbClr val="F9E894"/>
      </a:hlink>
      <a:folHlink>
        <a:srgbClr val="ECE2DA"/>
      </a:folHlink>
    </a:clrScheme>
    <a:fontScheme name="Playfair">
      <a:majorFont>
        <a:latin typeface="Century"/>
        <a:ea typeface=""/>
        <a:cs typeface=""/>
      </a:majorFont>
      <a:minorFont>
        <a:latin typeface="Century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F00A7-81B3-4AEA-A86D-BCDC98381E94}">
  <dimension ref="A1:P67"/>
  <sheetViews>
    <sheetView tabSelected="1" workbookViewId="0">
      <selection activeCell="A22" sqref="A22:I25"/>
    </sheetView>
  </sheetViews>
  <sheetFormatPr defaultRowHeight="12.5" x14ac:dyDescent="0.25"/>
  <cols>
    <col min="1" max="1" width="1.453125" customWidth="1"/>
    <col min="2" max="2" width="32.7265625" customWidth="1"/>
    <col min="3" max="3" width="1.453125" customWidth="1"/>
    <col min="4" max="5" width="15.36328125" customWidth="1"/>
    <col min="6" max="6" width="1.453125" customWidth="1"/>
    <col min="7" max="9" width="12.90625" customWidth="1"/>
    <col min="10" max="10" width="2.453125" style="1" customWidth="1"/>
    <col min="11" max="11" width="18.7265625" bestFit="1" customWidth="1"/>
    <col min="12" max="12" width="3.08984375" style="1" customWidth="1"/>
    <col min="13" max="13" width="13.6328125" customWidth="1"/>
    <col min="14" max="14" width="13.36328125" bestFit="1" customWidth="1"/>
    <col min="15" max="15" width="20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K1" s="1"/>
      <c r="M1" s="1"/>
      <c r="N1" s="1"/>
      <c r="O1" s="1"/>
    </row>
    <row r="2" spans="1:15" ht="13" x14ac:dyDescent="0.3">
      <c r="A2" s="1"/>
      <c r="B2" s="45" t="s">
        <v>68</v>
      </c>
      <c r="C2" s="1"/>
      <c r="D2" s="1"/>
      <c r="E2" s="1"/>
      <c r="F2" s="1"/>
      <c r="G2" s="1"/>
      <c r="H2" s="1"/>
      <c r="I2" s="1"/>
      <c r="K2" s="65"/>
      <c r="L2" s="65"/>
    </row>
    <row r="3" spans="1:15" ht="13" customHeight="1" x14ac:dyDescent="0.25">
      <c r="A3" s="1"/>
      <c r="B3" s="67" t="s">
        <v>67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ht="13" customHeight="1" x14ac:dyDescent="0.25">
      <c r="A4" s="1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13" customHeight="1" x14ac:dyDescent="0.25">
      <c r="A5" s="1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ht="13" customHeight="1" x14ac:dyDescent="0.25">
      <c r="A6" s="1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ht="13" customHeight="1" x14ac:dyDescent="0.25">
      <c r="A7" s="1"/>
      <c r="B7" s="67" t="s">
        <v>66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1:15" ht="13" customHeight="1" x14ac:dyDescent="0.25">
      <c r="A8" s="1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15" ht="13" customHeight="1" x14ac:dyDescent="0.25">
      <c r="A9" s="1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15" ht="13" customHeight="1" x14ac:dyDescent="0.25">
      <c r="A10" s="1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1:15" ht="13" customHeight="1" x14ac:dyDescent="0.25">
      <c r="A11" s="1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5" ht="13" customHeight="1" x14ac:dyDescent="0.25">
      <c r="A12" s="1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</row>
    <row r="13" spans="1:15" ht="13" customHeight="1" x14ac:dyDescent="0.25">
      <c r="A13" s="1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</row>
    <row r="14" spans="1:15" ht="13" customHeight="1" x14ac:dyDescent="0.25">
      <c r="A14" s="1"/>
      <c r="B14" s="66"/>
      <c r="C14" s="66"/>
      <c r="D14" s="66"/>
      <c r="E14" s="66"/>
      <c r="F14" s="66"/>
      <c r="G14" s="66"/>
      <c r="H14" s="66"/>
      <c r="I14" s="66"/>
      <c r="J14" s="61"/>
      <c r="K14" s="65"/>
      <c r="L14" s="65"/>
      <c r="M14" s="64"/>
      <c r="N14" s="64"/>
      <c r="O14" s="64"/>
    </row>
    <row r="15" spans="1:15" ht="13" x14ac:dyDescent="0.3">
      <c r="A15" s="1"/>
      <c r="B15" s="63" t="s">
        <v>65</v>
      </c>
      <c r="C15" s="63" t="s">
        <v>64</v>
      </c>
      <c r="D15" s="45"/>
      <c r="E15" s="45"/>
      <c r="F15" s="45"/>
      <c r="G15" s="45"/>
      <c r="H15" s="45"/>
      <c r="I15" s="45"/>
      <c r="J15" s="45"/>
      <c r="K15" s="1"/>
      <c r="M15" s="62" t="s">
        <v>63</v>
      </c>
      <c r="N15" s="62"/>
      <c r="O15" s="62"/>
    </row>
    <row r="16" spans="1:15" ht="13" x14ac:dyDescent="0.3">
      <c r="A16" s="1"/>
      <c r="B16" s="58" t="s">
        <v>62</v>
      </c>
      <c r="C16" s="58" t="s">
        <v>61</v>
      </c>
      <c r="D16" s="58"/>
      <c r="E16" s="61"/>
      <c r="F16" s="61"/>
      <c r="G16" s="61"/>
      <c r="H16" s="61"/>
      <c r="I16" s="61"/>
      <c r="J16" s="61"/>
      <c r="K16" s="1"/>
      <c r="M16" s="60"/>
      <c r="N16" s="60"/>
      <c r="O16" s="60"/>
    </row>
    <row r="17" spans="1:15" ht="13" x14ac:dyDescent="0.3">
      <c r="A17" s="1"/>
      <c r="B17" s="58" t="s">
        <v>60</v>
      </c>
      <c r="C17" s="58" t="s">
        <v>59</v>
      </c>
      <c r="D17" s="58"/>
      <c r="E17" s="49"/>
      <c r="F17" s="49"/>
      <c r="G17" s="49"/>
      <c r="H17" s="49"/>
      <c r="I17" s="49"/>
      <c r="J17" s="49"/>
      <c r="K17" s="1"/>
      <c r="M17" s="1"/>
      <c r="N17" s="1"/>
      <c r="O17" s="1"/>
    </row>
    <row r="18" spans="1:15" ht="13" x14ac:dyDescent="0.3">
      <c r="A18" s="1"/>
      <c r="B18" s="58" t="s">
        <v>58</v>
      </c>
      <c r="C18" s="58" t="s">
        <v>57</v>
      </c>
      <c r="D18" s="58"/>
      <c r="E18" s="1"/>
      <c r="F18" s="1"/>
      <c r="G18" s="1"/>
      <c r="H18" s="1"/>
      <c r="I18" s="1"/>
      <c r="K18" s="1"/>
      <c r="M18" s="1"/>
      <c r="N18" s="51" t="s">
        <v>56</v>
      </c>
      <c r="O18" s="59">
        <v>46265</v>
      </c>
    </row>
    <row r="19" spans="1:15" ht="13" x14ac:dyDescent="0.3">
      <c r="A19" s="1"/>
      <c r="B19" s="58" t="s">
        <v>55</v>
      </c>
      <c r="C19" s="58" t="s">
        <v>54</v>
      </c>
      <c r="D19" s="58"/>
      <c r="E19" s="1"/>
      <c r="F19" s="1"/>
      <c r="G19" s="1"/>
      <c r="H19" s="1"/>
      <c r="I19" s="1"/>
      <c r="K19" s="1"/>
      <c r="M19" s="1"/>
      <c r="N19" s="51" t="s">
        <v>53</v>
      </c>
      <c r="O19" s="57" t="s">
        <v>52</v>
      </c>
    </row>
    <row r="20" spans="1:15" ht="13" x14ac:dyDescent="0.3">
      <c r="A20" s="1"/>
      <c r="B20" s="49"/>
      <c r="C20" s="1"/>
      <c r="D20" s="1"/>
      <c r="E20" s="1"/>
      <c r="F20" s="1"/>
      <c r="G20" s="1"/>
      <c r="H20" s="1"/>
      <c r="I20" s="1"/>
      <c r="K20" s="1"/>
      <c r="M20" s="1"/>
      <c r="N20" s="56"/>
      <c r="O20" s="1"/>
    </row>
    <row r="21" spans="1:15" ht="13" x14ac:dyDescent="0.3">
      <c r="A21" s="1"/>
      <c r="B21" s="49"/>
      <c r="C21" s="1"/>
      <c r="D21" s="1"/>
      <c r="E21" s="1"/>
      <c r="F21" s="1"/>
      <c r="G21" s="1"/>
      <c r="H21" s="1"/>
      <c r="I21" s="1"/>
      <c r="K21" s="1"/>
      <c r="M21" s="1"/>
      <c r="N21" s="51" t="s">
        <v>51</v>
      </c>
      <c r="O21" s="55">
        <v>20000000</v>
      </c>
    </row>
    <row r="22" spans="1:15" ht="13" x14ac:dyDescent="0.3">
      <c r="A22" s="1"/>
      <c r="B22" s="49"/>
      <c r="C22" s="1"/>
      <c r="D22" s="1"/>
      <c r="E22" s="1"/>
      <c r="F22" s="1"/>
      <c r="G22" s="1"/>
      <c r="H22" s="1"/>
      <c r="I22" s="1"/>
      <c r="K22" s="1"/>
      <c r="M22" s="1"/>
      <c r="N22" s="51" t="s">
        <v>50</v>
      </c>
      <c r="O22" s="55">
        <v>5000000</v>
      </c>
    </row>
    <row r="23" spans="1:15" ht="13" x14ac:dyDescent="0.3">
      <c r="A23" s="1"/>
      <c r="B23" s="49"/>
      <c r="C23" s="1"/>
      <c r="D23" s="1"/>
      <c r="E23" s="1"/>
      <c r="F23" s="1"/>
      <c r="G23" s="1"/>
      <c r="H23" s="1"/>
      <c r="I23" s="1"/>
      <c r="K23" s="1"/>
      <c r="M23" s="1"/>
      <c r="N23" s="51" t="s">
        <v>49</v>
      </c>
      <c r="O23" s="54">
        <f>SUM(G36:G40)</f>
        <v>4000000</v>
      </c>
    </row>
    <row r="24" spans="1:15" ht="13" customHeight="1" x14ac:dyDescent="0.3">
      <c r="A24" s="1"/>
      <c r="B24" s="49"/>
      <c r="C24" s="1"/>
      <c r="D24" s="1"/>
      <c r="E24" s="1"/>
      <c r="F24" s="1"/>
      <c r="G24" s="1"/>
      <c r="H24" s="1"/>
      <c r="I24" s="1"/>
      <c r="J24" s="52"/>
      <c r="K24" s="1"/>
      <c r="M24" s="1"/>
      <c r="N24" s="51" t="s">
        <v>48</v>
      </c>
      <c r="O24" s="54">
        <f>O21+O22</f>
        <v>25000000</v>
      </c>
    </row>
    <row r="25" spans="1:15" ht="13" x14ac:dyDescent="0.3">
      <c r="A25" s="1"/>
      <c r="B25" s="49"/>
      <c r="C25" s="1"/>
      <c r="D25" s="1"/>
      <c r="E25" s="1"/>
      <c r="F25" s="1"/>
      <c r="G25" s="1"/>
      <c r="H25" s="1"/>
      <c r="I25" s="1"/>
      <c r="J25" s="52"/>
      <c r="K25" s="1"/>
      <c r="M25" s="1"/>
      <c r="N25" s="51" t="s">
        <v>47</v>
      </c>
      <c r="O25" s="53">
        <f ca="1">IF($O$28=0,0,$O$21/$O$28)</f>
        <v>1.1333333333333331</v>
      </c>
    </row>
    <row r="26" spans="1:15" ht="13" x14ac:dyDescent="0.3">
      <c r="A26" s="1"/>
      <c r="B26" s="49"/>
      <c r="C26" s="1"/>
      <c r="D26" s="1"/>
      <c r="E26" s="1"/>
      <c r="F26" s="1"/>
      <c r="G26" s="1"/>
      <c r="H26" s="1"/>
      <c r="I26" s="1"/>
      <c r="J26" s="52"/>
      <c r="K26" s="1"/>
      <c r="M26" s="1"/>
      <c r="N26" s="51" t="s">
        <v>46</v>
      </c>
      <c r="O26" s="50">
        <v>0.1</v>
      </c>
    </row>
    <row r="27" spans="1:15" ht="13" x14ac:dyDescent="0.3">
      <c r="A27" s="1"/>
      <c r="B27" s="49"/>
      <c r="C27" s="1"/>
      <c r="D27" s="1"/>
      <c r="E27" s="1"/>
      <c r="F27" s="1"/>
      <c r="G27" s="1"/>
      <c r="H27" s="1"/>
      <c r="I27" s="1"/>
      <c r="K27" s="1"/>
      <c r="M27" s="1"/>
      <c r="N27" s="1"/>
    </row>
    <row r="28" spans="1:15" s="31" customFormat="1" ht="26" x14ac:dyDescent="0.25">
      <c r="A28" s="37"/>
      <c r="B28" s="37"/>
      <c r="C28" s="37"/>
      <c r="D28" s="37"/>
      <c r="E28" s="37"/>
      <c r="F28" s="37"/>
      <c r="G28" s="37"/>
      <c r="H28" s="48" t="s">
        <v>45</v>
      </c>
      <c r="I28" s="48" t="s">
        <v>44</v>
      </c>
      <c r="J28" s="37"/>
      <c r="K28" s="37"/>
      <c r="M28" s="37"/>
      <c r="N28" s="47" t="s">
        <v>43</v>
      </c>
      <c r="O28" s="32">
        <f ca="1">$D$49+SUM($M$36:$M$40)</f>
        <v>17647058.823529415</v>
      </c>
    </row>
    <row r="29" spans="1:15" ht="13" x14ac:dyDescent="0.3">
      <c r="A29" s="1"/>
      <c r="B29" s="1"/>
      <c r="C29" s="1"/>
      <c r="D29" s="46" t="s">
        <v>42</v>
      </c>
      <c r="E29" s="46"/>
      <c r="F29" s="1"/>
      <c r="G29" s="46" t="s">
        <v>41</v>
      </c>
      <c r="H29" s="46"/>
      <c r="I29" s="46"/>
      <c r="J29" s="44"/>
      <c r="K29" s="45" t="s">
        <v>40</v>
      </c>
      <c r="L29" s="44"/>
      <c r="M29" s="43" t="s">
        <v>39</v>
      </c>
      <c r="N29" s="43"/>
      <c r="O29" s="43"/>
    </row>
    <row r="30" spans="1:15" ht="13" customHeight="1" x14ac:dyDescent="0.3">
      <c r="A30" s="1"/>
      <c r="B30" s="10" t="s">
        <v>38</v>
      </c>
      <c r="C30" s="1"/>
      <c r="D30" s="9" t="s">
        <v>37</v>
      </c>
      <c r="E30" s="42" t="s">
        <v>36</v>
      </c>
      <c r="F30" s="1"/>
      <c r="G30" s="9" t="s">
        <v>35</v>
      </c>
      <c r="H30" s="9" t="s">
        <v>34</v>
      </c>
      <c r="I30" s="9" t="s">
        <v>33</v>
      </c>
      <c r="J30" s="9"/>
      <c r="K30" s="10"/>
      <c r="L30" s="9"/>
      <c r="M30" s="9" t="s">
        <v>18</v>
      </c>
      <c r="N30" s="9" t="s">
        <v>32</v>
      </c>
      <c r="O30" s="9" t="s">
        <v>31</v>
      </c>
    </row>
    <row r="31" spans="1:15" ht="13" x14ac:dyDescent="0.3">
      <c r="A31" s="1"/>
      <c r="B31" s="15" t="s">
        <v>30</v>
      </c>
      <c r="C31" s="1"/>
      <c r="D31" s="41">
        <v>5000000</v>
      </c>
      <c r="E31" s="19">
        <f>D31/D$49</f>
        <v>0.5</v>
      </c>
      <c r="F31" s="1"/>
      <c r="G31" s="1"/>
      <c r="H31" s="1"/>
      <c r="I31" s="1"/>
      <c r="K31" s="19"/>
      <c r="M31" s="30"/>
      <c r="N31" s="30">
        <f>M31+D31</f>
        <v>5000000</v>
      </c>
      <c r="O31" s="29">
        <f ca="1">N31/$N$49</f>
        <v>0.20399999934720001</v>
      </c>
    </row>
    <row r="32" spans="1:15" ht="13" x14ac:dyDescent="0.3">
      <c r="A32" s="1"/>
      <c r="B32" s="15" t="s">
        <v>29</v>
      </c>
      <c r="C32" s="1"/>
      <c r="D32" s="41">
        <v>5000000</v>
      </c>
      <c r="E32" s="19">
        <f>D32/D$49</f>
        <v>0.5</v>
      </c>
      <c r="F32" s="1"/>
      <c r="G32" s="1"/>
      <c r="H32" s="1"/>
      <c r="I32" s="1"/>
      <c r="K32" s="19"/>
      <c r="M32" s="30"/>
      <c r="N32" s="30">
        <f>M32+D32</f>
        <v>5000000</v>
      </c>
      <c r="O32" s="29">
        <f ca="1">N32/$N$49</f>
        <v>0.20399999934720001</v>
      </c>
    </row>
    <row r="33" spans="1:15" ht="13" x14ac:dyDescent="0.3">
      <c r="A33" s="1"/>
      <c r="B33" s="15" t="s">
        <v>28</v>
      </c>
      <c r="C33" s="1"/>
      <c r="D33" s="41"/>
      <c r="E33" s="19">
        <f>D33/D$49</f>
        <v>0</v>
      </c>
      <c r="F33" s="1"/>
      <c r="G33" s="1"/>
      <c r="H33" s="1"/>
      <c r="I33" s="1"/>
      <c r="K33" s="19"/>
      <c r="M33" s="30"/>
      <c r="N33" s="30">
        <f>M33+D33</f>
        <v>0</v>
      </c>
      <c r="O33" s="29">
        <f ca="1">N33/$N$49</f>
        <v>0</v>
      </c>
    </row>
    <row r="34" spans="1:15" ht="13" x14ac:dyDescent="0.3">
      <c r="A34" s="1"/>
      <c r="B34" s="15"/>
      <c r="C34" s="1"/>
      <c r="D34" s="40"/>
      <c r="E34" s="19"/>
      <c r="F34" s="1"/>
      <c r="G34" s="1"/>
      <c r="H34" s="1"/>
      <c r="I34" s="1"/>
      <c r="K34" s="19"/>
      <c r="M34" s="30"/>
      <c r="N34" s="30"/>
      <c r="O34" s="29"/>
    </row>
    <row r="35" spans="1:15" ht="13" x14ac:dyDescent="0.3">
      <c r="A35" s="1"/>
      <c r="B35" s="10" t="s">
        <v>27</v>
      </c>
      <c r="C35" s="1"/>
      <c r="D35" s="1"/>
      <c r="E35" s="1"/>
      <c r="F35" s="1"/>
      <c r="G35" s="1"/>
      <c r="H35" s="1"/>
      <c r="I35" s="1"/>
      <c r="M35" s="1"/>
      <c r="N35" s="1"/>
      <c r="O35" s="39"/>
    </row>
    <row r="36" spans="1:15" s="31" customFormat="1" ht="13" x14ac:dyDescent="0.3">
      <c r="A36" s="37"/>
      <c r="B36" s="38" t="s">
        <v>26</v>
      </c>
      <c r="C36" s="37"/>
      <c r="D36" s="37"/>
      <c r="E36" s="37"/>
      <c r="F36" s="37"/>
      <c r="G36" s="36">
        <v>1000000</v>
      </c>
      <c r="H36" s="36">
        <v>5000000</v>
      </c>
      <c r="I36" s="35">
        <v>0.1</v>
      </c>
      <c r="J36" s="34"/>
      <c r="K36" s="33" t="str">
        <f ca="1">IF($G36=0,"n/a",IF($H36=0, IF($I36=0,"Round price","Discount (uncapped)"), IF($I36=0,"Cap",IF(($G36/$H36)*$O$28 &gt;= IF($O$25=0,0,$G36/($O$25*(1-$I36))),"Cap","Discount"))))</f>
        <v>Cap</v>
      </c>
      <c r="L36" s="1"/>
      <c r="M36" s="32">
        <f ca="1">IF($H36=0, IF($O$25=0,0,$G36/($O$25*(1-$I36))), IF($I36=0, ($G36/$H36)*$O$28, MAX(($G36/$H36)*$O$28, IF($O$25=0,0,$G36/($O$25*(1-$I36))))))</f>
        <v>3529411.7647058833</v>
      </c>
      <c r="N36" s="32">
        <f ca="1">ROUND(M36+D36,0)</f>
        <v>3529412</v>
      </c>
      <c r="O36" s="29">
        <f ca="1">N36/$N$49</f>
        <v>0.14400000913919997</v>
      </c>
    </row>
    <row r="37" spans="1:15" s="31" customFormat="1" ht="13" x14ac:dyDescent="0.3">
      <c r="A37" s="37"/>
      <c r="B37" s="38" t="s">
        <v>25</v>
      </c>
      <c r="C37" s="37"/>
      <c r="D37" s="37"/>
      <c r="E37" s="37"/>
      <c r="F37" s="37"/>
      <c r="G37" s="36">
        <v>1500000</v>
      </c>
      <c r="H37" s="36">
        <v>10000000</v>
      </c>
      <c r="I37" s="35">
        <v>0.1</v>
      </c>
      <c r="J37" s="34"/>
      <c r="K37" s="33" t="str">
        <f ca="1">IF($G37=0,"n/a",IF($H37=0, IF($I37=0,"Round price","Discount (uncapped)"), IF($I37=0,"Cap",IF(($G37/$H37)*$O$28 &gt;= IF($O$25=0,0,$G37/($O$25*(1-$I37))),"Cap","Discount"))))</f>
        <v>Cap</v>
      </c>
      <c r="L37" s="1"/>
      <c r="M37" s="32">
        <f ca="1">IF($H37=0, IF($O$25=0,0,$G37/($O$25*(1-$I37))), IF($I37=0, ($G37/$H37)*$O$28, MAX(($G37/$H37)*$O$28, IF($O$25=0,0,$G37/($O$25*(1-$I37))))))</f>
        <v>2647058.823529412</v>
      </c>
      <c r="N37" s="32">
        <f ca="1">ROUND(M37+D37,0)</f>
        <v>2647059</v>
      </c>
      <c r="O37" s="29">
        <f ca="1">N37/$N$49</f>
        <v>0.10800000685439998</v>
      </c>
    </row>
    <row r="38" spans="1:15" s="31" customFormat="1" ht="13" x14ac:dyDescent="0.3">
      <c r="A38" s="37"/>
      <c r="B38" s="38" t="s">
        <v>24</v>
      </c>
      <c r="C38" s="37"/>
      <c r="D38" s="37"/>
      <c r="E38" s="37"/>
      <c r="F38" s="37"/>
      <c r="G38" s="36">
        <v>1500000</v>
      </c>
      <c r="H38" s="36">
        <v>25000000</v>
      </c>
      <c r="I38" s="35">
        <v>0.1</v>
      </c>
      <c r="J38" s="34"/>
      <c r="K38" s="33" t="str">
        <f ca="1">IF($G38=0,"n/a",IF($H38=0, IF($I38=0,"Round price","Discount (uncapped)"), IF($I38=0,"Cap",IF(($G38/$H38)*$O$28 &gt;= IF($O$25=0,0,$G38/($O$25*(1-$I38))),"Cap","Discount"))))</f>
        <v>Discount</v>
      </c>
      <c r="L38" s="1"/>
      <c r="M38" s="32">
        <f ca="1">IF($H38=0, IF($O$25=0,0,$G38/($O$25*(1-$I38))), IF($I38=0, ($G38/$H38)*$O$28, MAX(($G38/$H38)*$O$28, IF($O$25=0,0,$G38/($O$25*(1-$I38))))))</f>
        <v>1470588.2352941181</v>
      </c>
      <c r="N38" s="32">
        <f ca="1">ROUND(M38+D38,0)</f>
        <v>1470588</v>
      </c>
      <c r="O38" s="29">
        <f ca="1">N38/$N$49</f>
        <v>5.999999020800003E-2</v>
      </c>
    </row>
    <row r="39" spans="1:15" s="31" customFormat="1" ht="13" x14ac:dyDescent="0.3">
      <c r="A39" s="37"/>
      <c r="B39" s="38" t="s">
        <v>23</v>
      </c>
      <c r="C39" s="37"/>
      <c r="D39" s="37"/>
      <c r="E39" s="37"/>
      <c r="F39" s="37"/>
      <c r="G39" s="36">
        <v>0</v>
      </c>
      <c r="H39" s="36">
        <v>0</v>
      </c>
      <c r="I39" s="35">
        <v>0</v>
      </c>
      <c r="J39" s="34"/>
      <c r="K39" s="33" t="str">
        <f>IF($G39=0,"n/a",IF($H39=0, IF($I39=0,"Round price","Discount (uncapped)"), IF($I39=0,"Cap",IF(($G39/$H39)*$O$28 &gt;= IF($O$25=0,0,$G39/($O$25*(1-$I39))),"Cap","Discount"))))</f>
        <v>n/a</v>
      </c>
      <c r="L39" s="1"/>
      <c r="M39" s="32">
        <f ca="1">IF($H39=0, IF($O$25=0,0,$G39/($O$25*(1-$I39))), IF($I39=0, ($G39/$H39)*$O$28, MAX(($G39/$H39)*$O$28, IF($O$25=0,0,$G39/($O$25*(1-$I39))))))</f>
        <v>0</v>
      </c>
      <c r="N39" s="32">
        <f ca="1">ROUND(M39+D39,0)</f>
        <v>0</v>
      </c>
      <c r="O39" s="29">
        <f ca="1">N39/$N$49</f>
        <v>0</v>
      </c>
    </row>
    <row r="40" spans="1:15" s="31" customFormat="1" ht="13" x14ac:dyDescent="0.3">
      <c r="A40" s="37"/>
      <c r="B40" s="38" t="s">
        <v>22</v>
      </c>
      <c r="C40" s="37"/>
      <c r="D40" s="37"/>
      <c r="E40" s="37"/>
      <c r="F40" s="37"/>
      <c r="G40" s="36">
        <v>0</v>
      </c>
      <c r="H40" s="36">
        <v>0</v>
      </c>
      <c r="I40" s="35">
        <v>0</v>
      </c>
      <c r="J40" s="34"/>
      <c r="K40" s="33" t="str">
        <f>IF($G40=0,"n/a",IF($H40=0, IF($I40=0,"Round price","Discount (uncapped)"), IF($I40=0,"Cap",IF(($G40/$H40)*$O$28 &gt;= IF($O$25=0,0,$G40/($O$25*(1-$I40))),"Cap","Discount"))))</f>
        <v>n/a</v>
      </c>
      <c r="L40" s="1"/>
      <c r="M40" s="32">
        <f ca="1">IF($H40=0, IF($O$25=0,0,$G40/($O$25*(1-$I40))), IF($I40=0, ($G40/$H40)*$O$28, MAX(($G40/$H40)*$O$28, IF($O$25=0,0,$G40/($O$25*(1-$I40))))))</f>
        <v>0</v>
      </c>
      <c r="N40" s="32">
        <f ca="1">ROUND(M40+D40,0)</f>
        <v>0</v>
      </c>
      <c r="O40" s="29">
        <f ca="1">N40/$N$49</f>
        <v>0</v>
      </c>
    </row>
    <row r="41" spans="1:15" s="31" customFormat="1" ht="13" x14ac:dyDescent="0.3">
      <c r="A41" s="37"/>
      <c r="B41" s="38"/>
      <c r="C41" s="37"/>
      <c r="D41" s="37"/>
      <c r="E41" s="37"/>
      <c r="F41" s="37"/>
      <c r="G41" s="36"/>
      <c r="H41" s="36"/>
      <c r="I41" s="35"/>
      <c r="J41" s="34"/>
      <c r="K41" s="33"/>
      <c r="L41" s="1"/>
      <c r="M41" s="32"/>
      <c r="N41" s="32"/>
      <c r="O41" s="29"/>
    </row>
    <row r="42" spans="1:15" ht="13" x14ac:dyDescent="0.3">
      <c r="A42" s="1"/>
      <c r="B42" s="10" t="s">
        <v>21</v>
      </c>
      <c r="C42" s="1"/>
      <c r="D42" s="1"/>
      <c r="E42" s="1"/>
      <c r="F42" s="1"/>
      <c r="G42" s="1"/>
      <c r="H42" s="26"/>
      <c r="I42" s="26"/>
      <c r="J42" s="25"/>
      <c r="K42" s="1"/>
      <c r="M42" s="1"/>
      <c r="N42" s="1"/>
      <c r="O42" s="1"/>
    </row>
    <row r="43" spans="1:15" ht="13" x14ac:dyDescent="0.3">
      <c r="A43" s="1"/>
      <c r="B43" s="15" t="s">
        <v>20</v>
      </c>
      <c r="C43" s="1"/>
      <c r="D43" s="1"/>
      <c r="E43" s="1"/>
      <c r="F43" s="1"/>
      <c r="G43" s="1"/>
      <c r="H43" s="1"/>
      <c r="I43" s="1"/>
      <c r="K43" s="1"/>
      <c r="M43" s="30">
        <f ca="1">IF($O$25=0,0,ROUND($O$22/$O$25,0))</f>
        <v>4411765</v>
      </c>
      <c r="N43" s="30">
        <f ca="1">M43+D43</f>
        <v>4411765</v>
      </c>
      <c r="O43" s="29">
        <f ca="1">N43/$N$49</f>
        <v>0.18000001142399996</v>
      </c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M45" s="1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M46" s="1"/>
      <c r="N46" s="1"/>
      <c r="O46" s="1"/>
    </row>
    <row r="47" spans="1:15" ht="13" x14ac:dyDescent="0.3">
      <c r="A47" s="1"/>
      <c r="B47" s="15" t="s">
        <v>19</v>
      </c>
      <c r="C47" s="1"/>
      <c r="D47" s="1"/>
      <c r="E47" s="1"/>
      <c r="F47" s="1"/>
      <c r="G47" s="1"/>
      <c r="H47" s="1"/>
      <c r="I47" s="1"/>
      <c r="K47" s="19"/>
      <c r="L47" s="30"/>
      <c r="M47" s="30">
        <f ca="1">ROUND($O$26*(SUM($N$31:$N$33)+SUM($N$36:$N$40)+$N$43)/(1-$O$26),0)</f>
        <v>2450980</v>
      </c>
      <c r="N47" s="30">
        <f ca="1">M47+D47</f>
        <v>2450980</v>
      </c>
      <c r="O47" s="29">
        <f ca="1">N47/$N$49</f>
        <v>9.9999983680000057E-2</v>
      </c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M48" s="1"/>
      <c r="N48" s="1"/>
      <c r="O48" s="1"/>
    </row>
    <row r="49" spans="1:16" ht="13" x14ac:dyDescent="0.3">
      <c r="A49" s="1"/>
      <c r="B49" s="15" t="s">
        <v>18</v>
      </c>
      <c r="C49" s="1"/>
      <c r="D49" s="28">
        <f>SUM(D31:D48)</f>
        <v>10000000</v>
      </c>
      <c r="E49" s="27">
        <f>SUM(E31:E48)</f>
        <v>1</v>
      </c>
      <c r="F49" s="1"/>
      <c r="G49" s="1"/>
      <c r="H49" s="26"/>
      <c r="I49" s="25"/>
      <c r="K49" s="25"/>
      <c r="M49" s="24">
        <f ca="1">SUM(M31:M47)</f>
        <v>14509803.823529413</v>
      </c>
      <c r="N49" s="24">
        <f ca="1">SUM(N31:N47)</f>
        <v>24509804</v>
      </c>
      <c r="O49" s="23">
        <f ca="1">SUM(O31:O47)</f>
        <v>1.0000000000000002</v>
      </c>
      <c r="P49" s="22" t="s">
        <v>17</v>
      </c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M50" s="1"/>
      <c r="N50" s="1"/>
      <c r="O50" s="1"/>
    </row>
    <row r="51" spans="1:16" ht="13" x14ac:dyDescent="0.3">
      <c r="A51" s="1"/>
      <c r="B51" s="15"/>
      <c r="C51" s="1"/>
      <c r="D51" s="1"/>
      <c r="E51" s="1"/>
      <c r="F51" s="1"/>
      <c r="J51" s="9"/>
      <c r="K51" s="1"/>
      <c r="N51" s="1"/>
      <c r="O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M52" s="1"/>
      <c r="N52" s="1"/>
      <c r="O52" s="1"/>
    </row>
    <row r="53" spans="1:16" ht="14.5" x14ac:dyDescent="0.35">
      <c r="A53" s="1"/>
      <c r="B53" s="21" t="s">
        <v>16</v>
      </c>
      <c r="C53" s="20"/>
      <c r="D53" s="20"/>
      <c r="E53" s="20"/>
      <c r="F53" s="1"/>
      <c r="G53" s="1"/>
      <c r="H53" s="1"/>
      <c r="I53" s="1"/>
      <c r="K53" s="1"/>
      <c r="M53" s="1"/>
      <c r="N53" s="1"/>
      <c r="O53" s="19"/>
    </row>
    <row r="54" spans="1:16" ht="13" customHeight="1" x14ac:dyDescent="0.25">
      <c r="A54" s="1"/>
      <c r="B54" s="18" t="s">
        <v>15</v>
      </c>
      <c r="C54" s="18"/>
      <c r="D54" s="18"/>
      <c r="E54" s="18"/>
      <c r="F54" s="1"/>
      <c r="G54" s="1"/>
      <c r="H54" s="1"/>
      <c r="I54" s="1"/>
      <c r="K54" s="1"/>
      <c r="M54" s="1"/>
      <c r="N54" s="1"/>
      <c r="O54" s="1"/>
    </row>
    <row r="55" spans="1:16" x14ac:dyDescent="0.25">
      <c r="A55" s="1"/>
      <c r="B55" s="18"/>
      <c r="C55" s="18"/>
      <c r="D55" s="18"/>
      <c r="E55" s="18"/>
      <c r="F55" s="1"/>
      <c r="G55" s="1"/>
      <c r="H55" s="1"/>
      <c r="I55" s="1"/>
      <c r="K55" s="1"/>
      <c r="M55" s="1"/>
      <c r="N55" s="1"/>
      <c r="O55" s="1"/>
    </row>
    <row r="56" spans="1:16" ht="13" x14ac:dyDescent="0.3">
      <c r="A56" s="1"/>
      <c r="B56" s="17" t="s">
        <v>14</v>
      </c>
      <c r="C56" s="16"/>
      <c r="D56" s="16" t="s">
        <v>13</v>
      </c>
      <c r="E56" s="16" t="s">
        <v>12</v>
      </c>
      <c r="F56" s="1"/>
      <c r="G56" s="1"/>
      <c r="H56" s="1"/>
      <c r="I56" s="1"/>
      <c r="K56" s="1"/>
      <c r="M56" s="1"/>
      <c r="N56" s="1"/>
      <c r="O56" s="1"/>
    </row>
    <row r="57" spans="1:16" ht="13" x14ac:dyDescent="0.3">
      <c r="A57" s="1"/>
      <c r="B57" s="15" t="s">
        <v>11</v>
      </c>
      <c r="C57" s="14"/>
      <c r="D57" s="13">
        <f>($D$31+$D$32)/$D$49</f>
        <v>1</v>
      </c>
      <c r="E57" s="12"/>
      <c r="F57" s="1"/>
      <c r="G57" s="1"/>
      <c r="H57" s="1"/>
      <c r="I57" s="1"/>
      <c r="K57" s="1"/>
      <c r="M57" s="1"/>
      <c r="N57" s="1"/>
      <c r="O57" s="1"/>
    </row>
    <row r="58" spans="1:16" ht="13" x14ac:dyDescent="0.3">
      <c r="A58" s="1"/>
      <c r="B58" s="15" t="s">
        <v>10</v>
      </c>
      <c r="C58" s="14"/>
      <c r="D58" s="13">
        <f ca="1">($D$31+$D$32)/$O$28</f>
        <v>0.56666666666666654</v>
      </c>
      <c r="E58" s="12">
        <f ca="1">D58-D57</f>
        <v>-0.43333333333333346</v>
      </c>
      <c r="F58" s="1"/>
      <c r="G58" s="1"/>
      <c r="H58" s="1"/>
      <c r="I58" s="1"/>
      <c r="K58" s="1"/>
      <c r="M58" s="1"/>
      <c r="N58" s="1"/>
      <c r="O58" s="1"/>
    </row>
    <row r="59" spans="1:16" ht="13" x14ac:dyDescent="0.3">
      <c r="A59" s="1"/>
      <c r="B59" s="15" t="s">
        <v>9</v>
      </c>
      <c r="C59" s="14"/>
      <c r="D59" s="13">
        <f ca="1">($D$31+$D$32)/($O$28+$M$43)</f>
        <v>0.45333332728888892</v>
      </c>
      <c r="E59" s="12">
        <f ca="1">D59-D58</f>
        <v>-0.11333333937777762</v>
      </c>
      <c r="F59" s="1"/>
      <c r="G59" s="1"/>
      <c r="H59" s="1"/>
      <c r="I59" s="1"/>
      <c r="K59" s="1"/>
      <c r="M59" s="1"/>
      <c r="N59" s="1"/>
      <c r="O59" s="1"/>
    </row>
    <row r="60" spans="1:16" ht="13" x14ac:dyDescent="0.3">
      <c r="A60" s="1"/>
      <c r="B60" s="15" t="s">
        <v>8</v>
      </c>
      <c r="C60" s="14"/>
      <c r="D60" s="13">
        <f ca="1">$O$31+$O$32</f>
        <v>0.40799999869440001</v>
      </c>
      <c r="E60" s="12">
        <f ca="1">D60-D59</f>
        <v>-4.5333328594488909E-2</v>
      </c>
      <c r="F60" s="1"/>
      <c r="G60" s="1"/>
      <c r="H60" s="1"/>
      <c r="I60" s="1"/>
      <c r="K60" s="1"/>
      <c r="M60" s="1"/>
      <c r="N60" s="1"/>
      <c r="O60" s="1"/>
    </row>
    <row r="61" spans="1:16" ht="13" x14ac:dyDescent="0.3">
      <c r="A61" s="1"/>
      <c r="B61" s="10" t="s">
        <v>7</v>
      </c>
      <c r="C61" s="1"/>
      <c r="D61" s="11">
        <f ca="1">D60-D57</f>
        <v>-0.59200000130559993</v>
      </c>
      <c r="E61" s="1"/>
      <c r="F61" s="1"/>
      <c r="G61" s="1"/>
      <c r="H61" s="1"/>
      <c r="I61" s="1"/>
      <c r="K61" s="1"/>
      <c r="M61" s="1"/>
      <c r="N61" s="1"/>
      <c r="O61" s="1"/>
    </row>
    <row r="62" spans="1:16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M62" s="1"/>
      <c r="N62" s="1"/>
      <c r="O62" s="1"/>
    </row>
    <row r="63" spans="1:16" ht="13" x14ac:dyDescent="0.3">
      <c r="A63" s="1"/>
      <c r="B63" s="10" t="s">
        <v>6</v>
      </c>
      <c r="D63" s="9" t="s">
        <v>5</v>
      </c>
      <c r="E63" s="9" t="s">
        <v>4</v>
      </c>
      <c r="F63" s="1"/>
      <c r="G63" s="1"/>
      <c r="H63" s="1"/>
      <c r="I63" s="1"/>
      <c r="K63" s="1"/>
      <c r="M63" s="1"/>
      <c r="N63" s="1"/>
      <c r="O63" s="1"/>
    </row>
    <row r="64" spans="1:16" ht="13" x14ac:dyDescent="0.3">
      <c r="B64" s="8" t="s">
        <v>3</v>
      </c>
      <c r="C64" s="7"/>
      <c r="D64" s="6">
        <f ca="1">SUM($O$36:$O$40)</f>
        <v>0.31200000620159996</v>
      </c>
      <c r="E64" s="4">
        <f ca="1">D64/(-$D$61)</f>
        <v>0.52702703634039438</v>
      </c>
    </row>
    <row r="65" spans="2:5" ht="13" x14ac:dyDescent="0.3">
      <c r="B65" s="5" t="s">
        <v>2</v>
      </c>
      <c r="D65" s="4">
        <f ca="1">$O$43</f>
        <v>0.18000001142399996</v>
      </c>
      <c r="E65" s="4">
        <f ca="1">D65/(-$D$61)</f>
        <v>0.30405407268078882</v>
      </c>
    </row>
    <row r="66" spans="2:5" ht="13" x14ac:dyDescent="0.3">
      <c r="B66" s="5" t="s">
        <v>1</v>
      </c>
      <c r="D66" s="4">
        <f ca="1">$O$47</f>
        <v>9.9999983680000057E-2</v>
      </c>
      <c r="E66" s="4">
        <f ca="1">D66/(-$D$61)</f>
        <v>0.16891889097881682</v>
      </c>
    </row>
    <row r="67" spans="2:5" ht="13" x14ac:dyDescent="0.3">
      <c r="B67" s="3" t="s">
        <v>0</v>
      </c>
      <c r="D67" s="2">
        <f ca="1">SUM(D64:D66)</f>
        <v>0.59200000130559993</v>
      </c>
      <c r="E67" s="2">
        <f ca="1">SUM(E64:E66)</f>
        <v>1</v>
      </c>
    </row>
  </sheetData>
  <mergeCells count="7">
    <mergeCell ref="B3:O6"/>
    <mergeCell ref="B7:O13"/>
    <mergeCell ref="M29:O29"/>
    <mergeCell ref="G29:I29"/>
    <mergeCell ref="D29:E29"/>
    <mergeCell ref="B54:E55"/>
    <mergeCell ref="M15:O16"/>
  </mergeCells>
  <conditionalFormatting sqref="O49">
    <cfRule type="cellIs" dxfId="1" priority="1" operator="notBetween">
      <formula>0.999</formula>
      <formula>1.001</formula>
    </cfRule>
    <cfRule type="cellIs" dxfId="0" priority="2" operator="between">
      <formula>0.999</formula>
      <formula>1.001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SAFE Stack Cap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Gill</dc:creator>
  <cp:lastModifiedBy>Matt Gill</cp:lastModifiedBy>
  <dcterms:created xsi:type="dcterms:W3CDTF">2026-06-11T08:26:56Z</dcterms:created>
  <dcterms:modified xsi:type="dcterms:W3CDTF">2026-06-11T08:27:17Z</dcterms:modified>
</cp:coreProperties>
</file>