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tt\OneDrive\Desktop\"/>
    </mc:Choice>
  </mc:AlternateContent>
  <xr:revisionPtr revIDLastSave="0" documentId="8_{8BD09D3D-1AC2-43C3-A153-7F18BB335D71}" xr6:coauthVersionLast="47" xr6:coauthVersionMax="47" xr10:uidLastSave="{00000000-0000-0000-0000-000000000000}"/>
  <bookViews>
    <workbookView xWindow="7200" yWindow="-18617" windowWidth="33120" windowHeight="18000" xr2:uid="{00000000-000D-0000-FFFF-FFFF00000000}"/>
  </bookViews>
  <sheets>
    <sheet name="Seed Round Cap Table Model (P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wKqwz3lWiMeciLSLyfv9WL6ZCZz+jcGdoL3LAQezkk="/>
    </ext>
  </extLst>
</workbook>
</file>

<file path=xl/calcChain.xml><?xml version="1.0" encoding="utf-8"?>
<calcChain xmlns="http://schemas.openxmlformats.org/spreadsheetml/2006/main">
  <c r="J9" i="1" l="1"/>
  <c r="J31" i="1"/>
  <c r="G34" i="1"/>
  <c r="M18" i="1"/>
  <c r="M19" i="1"/>
  <c r="D31" i="1"/>
  <c r="D35" i="1" s="1"/>
  <c r="J17" i="1"/>
  <c r="G35" i="1" l="1"/>
  <c r="H34" i="1" s="1"/>
  <c r="Q19" i="1"/>
  <c r="Q18" i="1"/>
  <c r="J11" i="1"/>
  <c r="J13" i="1" s="1"/>
  <c r="M34" i="1" l="1"/>
  <c r="E19" i="1"/>
  <c r="E18" i="1"/>
  <c r="E31" i="1" l="1"/>
  <c r="E35" i="1" s="1"/>
  <c r="J12" i="1"/>
  <c r="K21" i="1" s="1"/>
  <c r="H35" i="1"/>
  <c r="M21" i="1" l="1"/>
  <c r="L27" i="1"/>
  <c r="M27" i="1" s="1"/>
  <c r="L28" i="1"/>
  <c r="M28" i="1" s="1"/>
  <c r="L25" i="1"/>
  <c r="L29" i="1"/>
  <c r="M29" i="1" s="1"/>
  <c r="K22" i="1"/>
  <c r="M22" i="1" s="1"/>
  <c r="K24" i="1"/>
  <c r="M24" i="1" s="1"/>
  <c r="L26" i="1"/>
  <c r="M26" i="1" s="1"/>
  <c r="K23" i="1"/>
  <c r="M23" i="1" s="1"/>
  <c r="M25" i="1" l="1"/>
  <c r="Q25" i="1" s="1"/>
  <c r="K31" i="1"/>
  <c r="Q23" i="1"/>
  <c r="Q26" i="1"/>
  <c r="Q24" i="1"/>
  <c r="Q22" i="1"/>
  <c r="Q29" i="1"/>
  <c r="Q28" i="1"/>
  <c r="Q27" i="1"/>
  <c r="Q21" i="1"/>
  <c r="L30" i="1" l="1"/>
  <c r="M30" i="1" s="1"/>
  <c r="L31" i="1" l="1"/>
  <c r="M31" i="1"/>
  <c r="Q30" i="1"/>
  <c r="Q31" i="1" l="1"/>
  <c r="M35" i="1"/>
  <c r="N34" i="1" s="1"/>
  <c r="P34" i="1"/>
  <c r="Q34" i="1" s="1"/>
  <c r="N27" i="1" l="1"/>
  <c r="N24" i="1"/>
  <c r="N18" i="1"/>
  <c r="N26" i="1"/>
  <c r="N23" i="1"/>
  <c r="N29" i="1"/>
  <c r="N21" i="1"/>
  <c r="N22" i="1"/>
  <c r="N25" i="1"/>
  <c r="N28" i="1"/>
  <c r="N19" i="1"/>
  <c r="N30" i="1"/>
  <c r="Q35" i="1"/>
  <c r="N31" i="1" l="1"/>
  <c r="N35" i="1" s="1"/>
  <c r="R26" i="1"/>
  <c r="R23" i="1"/>
  <c r="R22" i="1"/>
  <c r="R24" i="1"/>
  <c r="R21" i="1"/>
  <c r="R18" i="1"/>
  <c r="R29" i="1"/>
  <c r="R28" i="1"/>
  <c r="R25" i="1"/>
  <c r="R27" i="1"/>
  <c r="R19" i="1"/>
  <c r="R30" i="1"/>
  <c r="R34" i="1"/>
  <c r="R31" i="1" l="1"/>
  <c r="R35" i="1" s="1"/>
</calcChain>
</file>

<file path=xl/sharedStrings.xml><?xml version="1.0" encoding="utf-8"?>
<sst xmlns="http://schemas.openxmlformats.org/spreadsheetml/2006/main" count="50" uniqueCount="47">
  <si>
    <t>Investment round date</t>
  </si>
  <si>
    <t>Currency</t>
  </si>
  <si>
    <t>£</t>
  </si>
  <si>
    <t>Pre-money valuation of equity round</t>
  </si>
  <si>
    <t>Equity Investment</t>
  </si>
  <si>
    <t>Post-money valuation</t>
  </si>
  <si>
    <t>Price per share</t>
  </si>
  <si>
    <t>Dilutive Impact of Investment</t>
  </si>
  <si>
    <t>Company Formation</t>
  </si>
  <si>
    <t>FOUNDERS, ADVISORS &amp; EMPLOYEES</t>
  </si>
  <si>
    <t>Initial Shares (Common)</t>
  </si>
  <si>
    <t>Initial Ownership (FD)</t>
  </si>
  <si>
    <t>Seed Shares</t>
  </si>
  <si>
    <t>Total Shareholding</t>
  </si>
  <si>
    <t>Total Ownership (FD)</t>
  </si>
  <si>
    <t xml:space="preserve"> </t>
  </si>
  <si>
    <t>Shares Issued</t>
  </si>
  <si>
    <t>New options</t>
  </si>
  <si>
    <t>Option Pool (Ordinary)</t>
  </si>
  <si>
    <t>Total (Fully Diluted)</t>
  </si>
  <si>
    <t>[Company] Capitalisation Table</t>
  </si>
  <si>
    <t>Playfair Capital</t>
  </si>
  <si>
    <t>Angel Investor 1</t>
  </si>
  <si>
    <t>Angel Investor 2</t>
  </si>
  <si>
    <t>Angel Investor 3</t>
  </si>
  <si>
    <t>Angel Investor 4</t>
  </si>
  <si>
    <t>Angel Investor 5</t>
  </si>
  <si>
    <t>VC Fund 1</t>
  </si>
  <si>
    <t>VC Fund 2</t>
  </si>
  <si>
    <t>VC Fund 3</t>
  </si>
  <si>
    <t>Other</t>
  </si>
  <si>
    <t>Post-Round Option Pool Creation</t>
  </si>
  <si>
    <t>Pre-Round Option Pool Creation</t>
  </si>
  <si>
    <t>INVESTORS</t>
  </si>
  <si>
    <t>Option pool (post money)</t>
  </si>
  <si>
    <t>Issued:</t>
  </si>
  <si>
    <t>Issuance</t>
  </si>
  <si>
    <t>%</t>
  </si>
  <si>
    <t>Ordinary Shares*</t>
  </si>
  <si>
    <t>*Most clean seed rounds issue the same class of shares to all investors on identical economic terms. This avoids complexity, reduces legal cost, and keeps the cap table tidy. If the startup is UK-based and using EIS/SEIS — angels often need to hold ordinary shares (or a specific share class) to qualify for EIS/SEIS relief, which creates a genuine structural reason to separate them from institutional preferred seed shares.</t>
  </si>
  <si>
    <t>Co-founder 2</t>
  </si>
  <si>
    <t>Co-founder 1</t>
  </si>
  <si>
    <t>Pre</t>
  </si>
  <si>
    <t>Pre-round options will have a higher dilutive effect on existing shareholders than issuing post-round</t>
  </si>
  <si>
    <t>Toggle between issuing the ESOP pre-round or post-round:</t>
  </si>
  <si>
    <t>The % in J14 can be amended and is the target post round option pool regardless of issuing pre or post round</t>
  </si>
  <si>
    <t>This is a simple cap table provided to model potential pre-seed round raises. All purple highlighted cells can be amended with the remainder of the model populating automatically. Additional rows can be added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</si>
</sst>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quot;$&quot;#,##0.00"/>
    <numFmt numFmtId="165" formatCode="[$£]#,##0"/>
    <numFmt numFmtId="166" formatCode="[$£]#,##0.00"/>
    <numFmt numFmtId="167" formatCode="[$€]#,##0.00"/>
    <numFmt numFmtId="168" formatCode="[$£]#,##0.000000"/>
    <numFmt numFmtId="169" formatCode="0.0%"/>
    <numFmt numFmtId="170" formatCode="#,##0\ ;\-#,##0\ ;\ \-#\ "/>
    <numFmt numFmtId="173" formatCode="#,##0.0000\ ;\-#,##0.0000\ ;\ \-#.000\ "/>
    <numFmt numFmtId="174" formatCode="_-* #,##0_-;\-* #,##0_-;_-* &quot;-&quot;??_-;_-@_-"/>
  </numFmts>
  <fonts count="16" x14ac:knownFonts="1">
    <font>
      <sz val="10"/>
      <color rgb="FF000000"/>
      <name val="Century"/>
      <scheme val="minor"/>
    </font>
    <font>
      <sz val="10"/>
      <color rgb="FF000000"/>
      <name val="Century"/>
      <family val="2"/>
      <scheme val="minor"/>
    </font>
    <font>
      <sz val="10"/>
      <color rgb="FF000000"/>
      <name val="Century"/>
      <scheme val="minor"/>
    </font>
    <font>
      <sz val="10"/>
      <color rgb="FF000000"/>
      <name val="Calibri"/>
      <family val="2"/>
    </font>
    <font>
      <sz val="10"/>
      <name val="Calibri"/>
      <family val="2"/>
    </font>
    <font>
      <sz val="10"/>
      <color theme="1"/>
      <name val="Calibri"/>
      <family val="2"/>
    </font>
    <font>
      <b/>
      <sz val="10"/>
      <color rgb="FF000000"/>
      <name val="Calibri"/>
      <family val="2"/>
    </font>
    <font>
      <sz val="10"/>
      <color rgb="FF0000FF"/>
      <name val="Calibri"/>
      <family val="2"/>
    </font>
    <font>
      <i/>
      <sz val="10"/>
      <color theme="1"/>
      <name val="Calibri"/>
      <family val="2"/>
    </font>
    <font>
      <sz val="8"/>
      <name val="Century"/>
      <family val="1"/>
      <scheme val="minor"/>
    </font>
    <font>
      <sz val="10"/>
      <color theme="5" tint="-0.499984740745262"/>
      <name val="Calibri"/>
      <family val="2"/>
    </font>
    <font>
      <b/>
      <sz val="10"/>
      <color theme="5" tint="-0.499984740745262"/>
      <name val="Calibri"/>
      <family val="2"/>
    </font>
    <font>
      <b/>
      <sz val="10"/>
      <color theme="3"/>
      <name val="Calibri"/>
      <family val="2"/>
    </font>
    <font>
      <sz val="10"/>
      <color theme="3"/>
      <name val="Calibri"/>
      <family val="2"/>
    </font>
    <font>
      <b/>
      <sz val="10"/>
      <color theme="1"/>
      <name val="Calibri"/>
      <family val="2"/>
    </font>
    <font>
      <i/>
      <sz val="10"/>
      <color theme="5" tint="-0.499984740745262"/>
      <name val="Calibri"/>
      <family val="2"/>
    </font>
  </fonts>
  <fills count="10">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FFFFFF"/>
        <bgColor theme="0"/>
      </patternFill>
    </fill>
    <fill>
      <patternFill patternType="solid">
        <fgColor rgb="FFFFFFFF"/>
        <bgColor indexed="64"/>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0"/>
        <bgColor rgb="FF3366FF"/>
      </patternFill>
    </fill>
    <fill>
      <patternFill patternType="solid">
        <fgColor theme="0"/>
        <bgColor indexed="64"/>
      </patternFill>
    </fill>
  </fills>
  <borders count="43">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right/>
      <top style="thin">
        <color rgb="FF000000"/>
      </top>
      <bottom/>
      <diagonal/>
    </border>
    <border>
      <left/>
      <right/>
      <top/>
      <bottom/>
      <diagonal/>
    </border>
    <border>
      <left/>
      <right/>
      <top/>
      <bottom style="thin">
        <color rgb="FF000000"/>
      </bottom>
      <diagonal/>
    </border>
    <border>
      <left/>
      <right/>
      <top/>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right style="thin">
        <color rgb="FF000000"/>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diagonal/>
    </border>
  </borders>
  <cellStyleXfs count="5">
    <xf numFmtId="0" fontId="0" fillId="0" borderId="0"/>
    <xf numFmtId="0" fontId="1" fillId="0" borderId="33"/>
    <xf numFmtId="44" fontId="1" fillId="0" borderId="33" applyFont="0" applyFill="0" applyBorder="0" applyAlignment="0" applyProtection="0"/>
    <xf numFmtId="9" fontId="1" fillId="0" borderId="33" applyFont="0" applyFill="0" applyBorder="0" applyAlignment="0" applyProtection="0"/>
    <xf numFmtId="43" fontId="2" fillId="0" borderId="0" applyFont="0" applyFill="0" applyBorder="0" applyAlignment="0" applyProtection="0"/>
  </cellStyleXfs>
  <cellXfs count="99">
    <xf numFmtId="0" fontId="0" fillId="0" borderId="0" xfId="0"/>
    <xf numFmtId="0" fontId="3" fillId="0" borderId="0" xfId="0" applyFont="1"/>
    <xf numFmtId="0" fontId="5" fillId="2" borderId="1" xfId="0" applyFont="1" applyFill="1" applyBorder="1"/>
    <xf numFmtId="0" fontId="5" fillId="2" borderId="12" xfId="0" applyFont="1" applyFill="1" applyBorder="1"/>
    <xf numFmtId="0" fontId="5" fillId="2" borderId="33" xfId="0" applyFont="1" applyFill="1" applyBorder="1"/>
    <xf numFmtId="0" fontId="3" fillId="2" borderId="2" xfId="0" applyFont="1" applyFill="1" applyBorder="1" applyAlignment="1">
      <alignment horizontal="center" wrapText="1"/>
    </xf>
    <xf numFmtId="164" fontId="3" fillId="2" borderId="1" xfId="0" applyNumberFormat="1" applyFont="1" applyFill="1" applyBorder="1" applyAlignment="1">
      <alignment horizontal="right" wrapText="1"/>
    </xf>
    <xf numFmtId="0" fontId="5" fillId="0" borderId="0" xfId="0" applyFont="1"/>
    <xf numFmtId="164" fontId="5" fillId="2" borderId="1" xfId="0" applyNumberFormat="1" applyFont="1" applyFill="1" applyBorder="1"/>
    <xf numFmtId="0" fontId="5" fillId="2" borderId="5" xfId="0" applyFont="1" applyFill="1" applyBorder="1"/>
    <xf numFmtId="0" fontId="3" fillId="2" borderId="6" xfId="0" applyFont="1" applyFill="1" applyBorder="1"/>
    <xf numFmtId="0" fontId="5" fillId="2" borderId="2" xfId="0" applyFont="1" applyFill="1" applyBorder="1"/>
    <xf numFmtId="166" fontId="5" fillId="2" borderId="1" xfId="0" applyNumberFormat="1" applyFont="1" applyFill="1" applyBorder="1"/>
    <xf numFmtId="167" fontId="5" fillId="2" borderId="2" xfId="0" applyNumberFormat="1" applyFont="1" applyFill="1" applyBorder="1"/>
    <xf numFmtId="165" fontId="3" fillId="2" borderId="5" xfId="0" applyNumberFormat="1" applyFont="1" applyFill="1" applyBorder="1" applyAlignment="1">
      <alignment horizontal="center"/>
    </xf>
    <xf numFmtId="168" fontId="5" fillId="2" borderId="6" xfId="0" applyNumberFormat="1" applyFont="1" applyFill="1" applyBorder="1" applyAlignment="1">
      <alignment horizontal="center"/>
    </xf>
    <xf numFmtId="10" fontId="3" fillId="2" borderId="6" xfId="0" applyNumberFormat="1" applyFont="1" applyFill="1" applyBorder="1" applyAlignment="1">
      <alignment horizontal="center"/>
    </xf>
    <xf numFmtId="0" fontId="3" fillId="2" borderId="8" xfId="0" applyFont="1" applyFill="1" applyBorder="1"/>
    <xf numFmtId="10" fontId="5" fillId="2" borderId="2" xfId="0" applyNumberFormat="1" applyFont="1" applyFill="1" applyBorder="1"/>
    <xf numFmtId="0" fontId="3" fillId="0" borderId="24" xfId="0" applyFont="1" applyBorder="1"/>
    <xf numFmtId="10" fontId="3" fillId="2" borderId="26" xfId="0" applyNumberFormat="1" applyFont="1" applyFill="1" applyBorder="1" applyAlignment="1">
      <alignment horizontal="center"/>
    </xf>
    <xf numFmtId="0" fontId="5" fillId="2" borderId="34" xfId="0" applyFont="1" applyFill="1" applyBorder="1"/>
    <xf numFmtId="10" fontId="3" fillId="2" borderId="28" xfId="0" applyNumberFormat="1" applyFont="1" applyFill="1" applyBorder="1" applyAlignment="1">
      <alignment horizontal="center"/>
    </xf>
    <xf numFmtId="0" fontId="6" fillId="0" borderId="7" xfId="0" applyFont="1" applyBorder="1"/>
    <xf numFmtId="0" fontId="5" fillId="0" borderId="16" xfId="0" applyFont="1" applyBorder="1"/>
    <xf numFmtId="0" fontId="5" fillId="2" borderId="26" xfId="0" applyFont="1" applyFill="1" applyBorder="1"/>
    <xf numFmtId="0" fontId="8" fillId="2" borderId="1" xfId="0" applyFont="1" applyFill="1" applyBorder="1"/>
    <xf numFmtId="0" fontId="3" fillId="3" borderId="8" xfId="0" applyFont="1" applyFill="1" applyBorder="1"/>
    <xf numFmtId="10" fontId="3" fillId="3" borderId="18" xfId="0" applyNumberFormat="1" applyFont="1" applyFill="1" applyBorder="1" applyAlignment="1">
      <alignment horizontal="center"/>
    </xf>
    <xf numFmtId="10" fontId="3" fillId="3" borderId="28" xfId="0" applyNumberFormat="1" applyFont="1" applyFill="1" applyBorder="1" applyAlignment="1">
      <alignment horizontal="center"/>
    </xf>
    <xf numFmtId="3" fontId="5" fillId="3" borderId="39" xfId="0" applyNumberFormat="1" applyFont="1" applyFill="1" applyBorder="1" applyAlignment="1">
      <alignment horizontal="center"/>
    </xf>
    <xf numFmtId="10" fontId="3" fillId="3" borderId="37" xfId="0" applyNumberFormat="1" applyFont="1" applyFill="1" applyBorder="1" applyAlignment="1">
      <alignment horizontal="center"/>
    </xf>
    <xf numFmtId="0" fontId="5" fillId="2" borderId="30" xfId="0" applyFont="1" applyFill="1" applyBorder="1"/>
    <xf numFmtId="0" fontId="5" fillId="2" borderId="29" xfId="0" applyFont="1" applyFill="1" applyBorder="1"/>
    <xf numFmtId="0" fontId="3" fillId="2" borderId="0" xfId="0" applyFont="1" applyFill="1"/>
    <xf numFmtId="3" fontId="3" fillId="2" borderId="1" xfId="0" applyNumberFormat="1" applyFont="1" applyFill="1" applyBorder="1" applyAlignment="1">
      <alignment horizontal="center"/>
    </xf>
    <xf numFmtId="3" fontId="7" fillId="0" borderId="0" xfId="0" applyNumberFormat="1" applyFont="1" applyAlignment="1">
      <alignment horizontal="center"/>
    </xf>
    <xf numFmtId="10" fontId="3" fillId="2" borderId="31" xfId="0" applyNumberFormat="1" applyFont="1" applyFill="1" applyBorder="1" applyAlignment="1">
      <alignment horizontal="center"/>
    </xf>
    <xf numFmtId="3" fontId="5" fillId="2" borderId="32" xfId="0" applyNumberFormat="1" applyFont="1" applyFill="1" applyBorder="1" applyAlignment="1">
      <alignment horizontal="center"/>
    </xf>
    <xf numFmtId="10" fontId="3" fillId="2" borderId="23" xfId="0" applyNumberFormat="1" applyFont="1" applyFill="1" applyBorder="1" applyAlignment="1">
      <alignment horizontal="center"/>
    </xf>
    <xf numFmtId="0" fontId="3" fillId="2" borderId="7" xfId="0" applyFont="1" applyFill="1" applyBorder="1"/>
    <xf numFmtId="10" fontId="3" fillId="2" borderId="21" xfId="0" applyNumberFormat="1" applyFont="1" applyFill="1" applyBorder="1" applyAlignment="1">
      <alignment horizontal="center"/>
    </xf>
    <xf numFmtId="10" fontId="3" fillId="2" borderId="18" xfId="0" applyNumberFormat="1" applyFont="1" applyFill="1" applyBorder="1" applyAlignment="1">
      <alignment horizontal="center"/>
    </xf>
    <xf numFmtId="3" fontId="3" fillId="2" borderId="36" xfId="0" applyNumberFormat="1" applyFont="1" applyFill="1" applyBorder="1" applyAlignment="1">
      <alignment horizontal="center"/>
    </xf>
    <xf numFmtId="169" fontId="5" fillId="2" borderId="1" xfId="0" applyNumberFormat="1" applyFont="1" applyFill="1" applyBorder="1"/>
    <xf numFmtId="173" fontId="5" fillId="2" borderId="1" xfId="0" applyNumberFormat="1" applyFont="1" applyFill="1" applyBorder="1"/>
    <xf numFmtId="10" fontId="10" fillId="6" borderId="8" xfId="0" applyNumberFormat="1" applyFont="1" applyFill="1" applyBorder="1" applyAlignment="1">
      <alignment horizontal="center"/>
    </xf>
    <xf numFmtId="165" fontId="10" fillId="7" borderId="3" xfId="0" applyNumberFormat="1" applyFont="1" applyFill="1" applyBorder="1" applyAlignment="1">
      <alignment horizontal="center"/>
    </xf>
    <xf numFmtId="10" fontId="4" fillId="2" borderId="21" xfId="0" applyNumberFormat="1" applyFont="1" applyFill="1" applyBorder="1" applyAlignment="1">
      <alignment horizontal="center"/>
    </xf>
    <xf numFmtId="0" fontId="14" fillId="2" borderId="1" xfId="0" applyFont="1" applyFill="1" applyBorder="1" applyAlignment="1">
      <alignment vertical="center"/>
    </xf>
    <xf numFmtId="0" fontId="6" fillId="2" borderId="7" xfId="0" applyFont="1" applyFill="1" applyBorder="1" applyAlignment="1">
      <alignment vertical="center" wrapText="1"/>
    </xf>
    <xf numFmtId="0" fontId="6" fillId="2" borderId="17" xfId="0" applyFont="1" applyFill="1" applyBorder="1" applyAlignment="1">
      <alignment horizontal="center" vertical="center" wrapText="1"/>
    </xf>
    <xf numFmtId="169" fontId="6" fillId="2" borderId="18" xfId="0" applyNumberFormat="1" applyFont="1" applyFill="1" applyBorder="1" applyAlignment="1">
      <alignment horizontal="center" vertical="center" wrapText="1"/>
    </xf>
    <xf numFmtId="0" fontId="14" fillId="2" borderId="12" xfId="0" applyFont="1" applyFill="1" applyBorder="1" applyAlignment="1">
      <alignment vertical="center"/>
    </xf>
    <xf numFmtId="170" fontId="6" fillId="2" borderId="19" xfId="0" applyNumberFormat="1" applyFont="1" applyFill="1" applyBorder="1" applyAlignment="1">
      <alignment horizontal="center" vertical="center" wrapText="1"/>
    </xf>
    <xf numFmtId="170" fontId="6" fillId="2" borderId="20" xfId="0" applyNumberFormat="1" applyFont="1" applyFill="1" applyBorder="1" applyAlignment="1">
      <alignment horizontal="center" vertical="center" wrapText="1"/>
    </xf>
    <xf numFmtId="170" fontId="6" fillId="2" borderId="21" xfId="0" applyNumberFormat="1" applyFont="1" applyFill="1" applyBorder="1" applyAlignment="1">
      <alignment horizontal="center" vertical="center" wrapText="1"/>
    </xf>
    <xf numFmtId="0" fontId="14" fillId="2" borderId="33"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xf>
    <xf numFmtId="0" fontId="10" fillId="6" borderId="1" xfId="0" applyFont="1" applyFill="1" applyBorder="1"/>
    <xf numFmtId="174" fontId="5" fillId="2" borderId="35" xfId="4" applyNumberFormat="1" applyFont="1" applyFill="1" applyBorder="1" applyAlignment="1">
      <alignment horizontal="center"/>
    </xf>
    <xf numFmtId="17" fontId="10" fillId="6" borderId="2" xfId="0" applyNumberFormat="1" applyFont="1" applyFill="1" applyBorder="1" applyAlignment="1">
      <alignment horizontal="center" wrapText="1"/>
    </xf>
    <xf numFmtId="0" fontId="10" fillId="6" borderId="7" xfId="0" applyFont="1" applyFill="1" applyBorder="1" applyAlignment="1">
      <alignment horizontal="center"/>
    </xf>
    <xf numFmtId="174" fontId="3" fillId="0" borderId="25" xfId="4" applyNumberFormat="1" applyFont="1" applyBorder="1" applyAlignment="1">
      <alignment horizontal="center"/>
    </xf>
    <xf numFmtId="174" fontId="3" fillId="3" borderId="17" xfId="4" applyNumberFormat="1" applyFont="1" applyFill="1" applyBorder="1" applyAlignment="1">
      <alignment horizontal="center"/>
    </xf>
    <xf numFmtId="170" fontId="11" fillId="6" borderId="20" xfId="0" applyNumberFormat="1" applyFont="1" applyFill="1" applyBorder="1" applyAlignment="1">
      <alignment horizontal="center" vertical="center" wrapText="1"/>
    </xf>
    <xf numFmtId="0" fontId="5" fillId="2" borderId="1" xfId="0" applyFont="1" applyFill="1" applyBorder="1" applyAlignment="1">
      <alignment horizontal="left" vertical="top" wrapText="1"/>
    </xf>
    <xf numFmtId="0" fontId="12" fillId="8" borderId="42"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3" fillId="9" borderId="11" xfId="0" applyFont="1" applyFill="1" applyBorder="1" applyAlignment="1">
      <alignment vertical="center"/>
    </xf>
    <xf numFmtId="0" fontId="12" fillId="8" borderId="13" xfId="0" applyFont="1" applyFill="1" applyBorder="1" applyAlignment="1">
      <alignment horizontal="center" vertical="center" wrapText="1"/>
    </xf>
    <xf numFmtId="0" fontId="13" fillId="9" borderId="14" xfId="0" applyFont="1" applyFill="1" applyBorder="1" applyAlignment="1">
      <alignment vertical="center"/>
    </xf>
    <xf numFmtId="0" fontId="13" fillId="9" borderId="15" xfId="0" applyFont="1" applyFill="1" applyBorder="1" applyAlignment="1">
      <alignment vertical="center"/>
    </xf>
    <xf numFmtId="0" fontId="12" fillId="8" borderId="40" xfId="0" applyFont="1" applyFill="1" applyBorder="1" applyAlignment="1">
      <alignment horizontal="center" vertical="center" wrapText="1"/>
    </xf>
    <xf numFmtId="0" fontId="12" fillId="8" borderId="41" xfId="0" applyFont="1" applyFill="1" applyBorder="1" applyAlignment="1">
      <alignment horizontal="center" vertical="center" wrapText="1"/>
    </xf>
    <xf numFmtId="165" fontId="4" fillId="0" borderId="4" xfId="0" applyNumberFormat="1" applyFont="1" applyFill="1" applyBorder="1" applyAlignment="1">
      <alignment horizontal="center"/>
    </xf>
    <xf numFmtId="174" fontId="10" fillId="7" borderId="25" xfId="4" applyNumberFormat="1" applyFont="1" applyFill="1" applyBorder="1" applyAlignment="1">
      <alignment horizontal="center"/>
    </xf>
    <xf numFmtId="174" fontId="4" fillId="0" borderId="10" xfId="4" applyNumberFormat="1" applyFont="1" applyBorder="1" applyAlignment="1">
      <alignment horizontal="center"/>
    </xf>
    <xf numFmtId="174" fontId="3" fillId="2" borderId="17" xfId="4" applyNumberFormat="1" applyFont="1" applyFill="1" applyBorder="1" applyAlignment="1">
      <alignment horizontal="center"/>
    </xf>
    <xf numFmtId="174" fontId="5" fillId="2" borderId="19" xfId="4" applyNumberFormat="1" applyFont="1" applyFill="1" applyBorder="1" applyAlignment="1">
      <alignment horizontal="center"/>
    </xf>
    <xf numFmtId="174" fontId="5" fillId="2" borderId="27" xfId="4" applyNumberFormat="1" applyFont="1" applyFill="1" applyBorder="1"/>
    <xf numFmtId="174" fontId="5" fillId="4" borderId="1" xfId="4" applyNumberFormat="1" applyFont="1" applyFill="1" applyBorder="1"/>
    <xf numFmtId="174" fontId="3" fillId="4" borderId="1" xfId="4" applyNumberFormat="1" applyFont="1" applyFill="1" applyBorder="1" applyAlignment="1">
      <alignment horizontal="center"/>
    </xf>
    <xf numFmtId="174" fontId="3" fillId="5" borderId="0" xfId="4" applyNumberFormat="1" applyFont="1" applyFill="1"/>
    <xf numFmtId="174" fontId="5" fillId="3" borderId="2" xfId="4" applyNumberFormat="1" applyFont="1" applyFill="1" applyBorder="1" applyAlignment="1">
      <alignment horizontal="center"/>
    </xf>
    <xf numFmtId="174" fontId="5" fillId="3" borderId="9" xfId="4" applyNumberFormat="1" applyFont="1" applyFill="1" applyBorder="1" applyAlignment="1">
      <alignment horizontal="center"/>
    </xf>
    <xf numFmtId="174" fontId="5" fillId="2" borderId="33" xfId="4" applyNumberFormat="1" applyFont="1" applyFill="1" applyBorder="1" applyAlignment="1">
      <alignment horizontal="center"/>
    </xf>
    <xf numFmtId="174" fontId="5" fillId="3" borderId="38" xfId="4" applyNumberFormat="1" applyFont="1" applyFill="1" applyBorder="1" applyAlignment="1">
      <alignment horizontal="center"/>
    </xf>
    <xf numFmtId="174" fontId="7" fillId="0" borderId="25" xfId="4" applyNumberFormat="1" applyFont="1" applyBorder="1" applyAlignment="1">
      <alignment horizontal="center"/>
    </xf>
    <xf numFmtId="174" fontId="3" fillId="2" borderId="27" xfId="4" applyNumberFormat="1" applyFont="1" applyFill="1" applyBorder="1" applyAlignment="1">
      <alignment horizontal="center"/>
    </xf>
    <xf numFmtId="174" fontId="5" fillId="2" borderId="1" xfId="4" applyNumberFormat="1" applyFont="1" applyFill="1" applyBorder="1"/>
    <xf numFmtId="174" fontId="3" fillId="2" borderId="1" xfId="4" applyNumberFormat="1" applyFont="1" applyFill="1" applyBorder="1" applyAlignment="1">
      <alignment horizontal="center"/>
    </xf>
    <xf numFmtId="174" fontId="3" fillId="2" borderId="19" xfId="4" applyNumberFormat="1" applyFont="1" applyFill="1" applyBorder="1" applyAlignment="1">
      <alignment horizontal="center"/>
    </xf>
    <xf numFmtId="3" fontId="15" fillId="2" borderId="1" xfId="0" applyNumberFormat="1" applyFont="1" applyFill="1" applyBorder="1"/>
    <xf numFmtId="0" fontId="10" fillId="0" borderId="0" xfId="0" applyFont="1"/>
    <xf numFmtId="0" fontId="15" fillId="2" borderId="1" xfId="0" applyFont="1" applyFill="1" applyBorder="1"/>
    <xf numFmtId="0" fontId="15" fillId="2" borderId="1" xfId="0" applyFont="1" applyFill="1" applyBorder="1" applyAlignment="1">
      <alignment horizontal="center" vertical="center" wrapText="1"/>
    </xf>
  </cellXfs>
  <cellStyles count="5">
    <cellStyle name="Comma" xfId="4" builtinId="3"/>
    <cellStyle name="Currency 2" xfId="2" xr:uid="{AAF1EA02-7FF1-4D5F-8A75-AFEDA6E2EBB2}"/>
    <cellStyle name="Normal" xfId="0" builtinId="0"/>
    <cellStyle name="Normal 2" xfId="1" xr:uid="{00C4A611-71A0-409E-BD78-8327EA5CF6AF}"/>
    <cellStyle name="Per cent 2" xfId="3" xr:uid="{67C3095A-B0ED-4BEA-8591-39D4A9B96228}"/>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628650</xdr:colOff>
      <xdr:row>0</xdr:row>
      <xdr:rowOff>35463</xdr:rowOff>
    </xdr:from>
    <xdr:to>
      <xdr:col>7</xdr:col>
      <xdr:colOff>232119</xdr:colOff>
      <xdr:row>3</xdr:row>
      <xdr:rowOff>152790</xdr:rowOff>
    </xdr:to>
    <xdr:pic>
      <xdr:nvPicPr>
        <xdr:cNvPr id="3" name="Picture 2">
          <a:extLst>
            <a:ext uri="{FF2B5EF4-FFF2-40B4-BE49-F238E27FC236}">
              <a16:creationId xmlns:a16="http://schemas.microsoft.com/office/drawing/2014/main" id="{79EEA262-526B-7399-FFF4-01D693C65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6521" y="35463"/>
          <a:ext cx="2679590" cy="623513"/>
        </a:xfrm>
        <a:prstGeom prst="rect">
          <a:avLst/>
        </a:prstGeom>
      </xdr:spPr>
    </xdr:pic>
    <xdr:clientData/>
  </xdr:twoCellAnchor>
  <xdr:twoCellAnchor>
    <xdr:from>
      <xdr:col>11</xdr:col>
      <xdr:colOff>326572</xdr:colOff>
      <xdr:row>8</xdr:row>
      <xdr:rowOff>141514</xdr:rowOff>
    </xdr:from>
    <xdr:to>
      <xdr:col>11</xdr:col>
      <xdr:colOff>936172</xdr:colOff>
      <xdr:row>12</xdr:row>
      <xdr:rowOff>190500</xdr:rowOff>
    </xdr:to>
    <xdr:cxnSp macro="">
      <xdr:nvCxnSpPr>
        <xdr:cNvPr id="4" name="Straight Arrow Connector 3">
          <a:extLst>
            <a:ext uri="{FF2B5EF4-FFF2-40B4-BE49-F238E27FC236}">
              <a16:creationId xmlns:a16="http://schemas.microsoft.com/office/drawing/2014/main" id="{92A659F6-C603-C5D4-8DA6-A68391C4D298}"/>
            </a:ext>
          </a:extLst>
        </xdr:cNvPr>
        <xdr:cNvCxnSpPr/>
      </xdr:nvCxnSpPr>
      <xdr:spPr>
        <a:xfrm flipV="1">
          <a:off x="9573986" y="1627414"/>
          <a:ext cx="609600" cy="83275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Playfair Capital MS365">
  <a:themeElements>
    <a:clrScheme name="Playfair">
      <a:dk1>
        <a:srgbClr val="31261D"/>
      </a:dk1>
      <a:lt1>
        <a:srgbClr val="31261D"/>
      </a:lt1>
      <a:dk2>
        <a:srgbClr val="B9B9FA"/>
      </a:dk2>
      <a:lt2>
        <a:srgbClr val="B5D3C8"/>
      </a:lt2>
      <a:accent1>
        <a:srgbClr val="B9B9FA"/>
      </a:accent1>
      <a:accent2>
        <a:srgbClr val="A176F7"/>
      </a:accent2>
      <a:accent3>
        <a:srgbClr val="23DEB0"/>
      </a:accent3>
      <a:accent4>
        <a:srgbClr val="EC613F"/>
      </a:accent4>
      <a:accent5>
        <a:srgbClr val="C7CFBF"/>
      </a:accent5>
      <a:accent6>
        <a:srgbClr val="F9E894"/>
      </a:accent6>
      <a:hlink>
        <a:srgbClr val="F9E894"/>
      </a:hlink>
      <a:folHlink>
        <a:srgbClr val="ECE2DA"/>
      </a:folHlink>
    </a:clrScheme>
    <a:fontScheme name="Playfair">
      <a:majorFont>
        <a:latin typeface="Century"/>
        <a:ea typeface=""/>
        <a:cs typeface=""/>
      </a:majorFont>
      <a:minorFont>
        <a:latin typeface="Centur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F9B2AFF-BE7A-4831-90C8-8EBDF3BF8F14}">
  <we:reference id="wa200009404" version="1.0.0.8" store="en-GB" storeType="OMEX"/>
  <we:alternateReferences>
    <we:reference id="wa200009404" version="1.0.0.8" store=""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S997"/>
  <sheetViews>
    <sheetView showGridLines="0" tabSelected="1" workbookViewId="0">
      <selection activeCell="F8" sqref="F8"/>
    </sheetView>
  </sheetViews>
  <sheetFormatPr defaultColWidth="12.54296875" defaultRowHeight="15" customHeight="1" x14ac:dyDescent="0.3"/>
  <cols>
    <col min="1" max="1" width="2.08984375" style="1" customWidth="1"/>
    <col min="2" max="2" width="39.81640625" style="1" customWidth="1"/>
    <col min="3" max="3" width="2.54296875" style="1" customWidth="1"/>
    <col min="4" max="5" width="13.81640625" style="1" customWidth="1"/>
    <col min="6" max="6" width="2.54296875" style="1" customWidth="1"/>
    <col min="7" max="8" width="13.81640625" style="1" customWidth="1"/>
    <col min="9" max="9" width="2.54296875" style="1" customWidth="1"/>
    <col min="10" max="14" width="13.81640625" style="1" customWidth="1"/>
    <col min="15" max="15" width="2.54296875" style="1" customWidth="1"/>
    <col min="16" max="18" width="13.81640625" style="1" customWidth="1"/>
    <col min="19" max="16384" width="12.54296875" style="1"/>
  </cols>
  <sheetData>
    <row r="1" spans="1:19" ht="9" customHeight="1" x14ac:dyDescent="0.3">
      <c r="A1" s="2"/>
      <c r="B1" s="5"/>
      <c r="C1" s="2"/>
      <c r="D1" s="2"/>
      <c r="E1" s="2"/>
      <c r="F1" s="2"/>
      <c r="G1" s="2"/>
      <c r="H1" s="2"/>
      <c r="I1" s="2"/>
      <c r="J1" s="2"/>
      <c r="K1" s="6"/>
      <c r="L1" s="6"/>
      <c r="M1" s="2"/>
      <c r="N1" s="2"/>
      <c r="O1" s="2"/>
      <c r="P1" s="4"/>
      <c r="Q1" s="4"/>
      <c r="R1" s="4"/>
      <c r="S1" s="4"/>
    </row>
    <row r="2" spans="1:19" ht="15.75" customHeight="1" x14ac:dyDescent="0.3">
      <c r="A2" s="2"/>
      <c r="B2" s="68" t="s">
        <v>20</v>
      </c>
      <c r="C2" s="2"/>
      <c r="I2" s="2"/>
      <c r="J2" s="2"/>
      <c r="K2" s="6"/>
      <c r="L2" s="6"/>
      <c r="M2" s="2"/>
      <c r="N2" s="7"/>
      <c r="O2" s="2"/>
      <c r="P2" s="4"/>
      <c r="Q2" s="4"/>
      <c r="R2" s="4"/>
      <c r="S2" s="4"/>
    </row>
    <row r="3" spans="1:19" ht="15.75" customHeight="1" x14ac:dyDescent="0.3">
      <c r="A3" s="2"/>
      <c r="B3" s="69"/>
      <c r="C3" s="2"/>
      <c r="I3" s="2"/>
      <c r="J3" s="2"/>
      <c r="K3" s="6"/>
      <c r="L3" s="6"/>
      <c r="M3" s="8"/>
      <c r="N3" s="2"/>
      <c r="O3" s="2"/>
      <c r="P3" s="4"/>
      <c r="Q3" s="4"/>
      <c r="R3" s="4"/>
      <c r="S3" s="4"/>
    </row>
    <row r="4" spans="1:19" ht="15.75" customHeight="1" x14ac:dyDescent="0.3">
      <c r="A4" s="2"/>
      <c r="B4" s="9"/>
      <c r="C4" s="2"/>
      <c r="D4" s="2"/>
      <c r="E4" s="2"/>
      <c r="F4" s="2"/>
      <c r="G4" s="2"/>
      <c r="H4" s="2"/>
      <c r="I4" s="2"/>
      <c r="J4" s="2"/>
      <c r="K4" s="2"/>
      <c r="L4" s="2"/>
      <c r="M4" s="2"/>
      <c r="N4" s="2"/>
      <c r="O4" s="2"/>
      <c r="P4" s="4"/>
      <c r="Q4" s="4"/>
      <c r="R4" s="4"/>
      <c r="S4" s="4"/>
    </row>
    <row r="5" spans="1:19" ht="15.75" customHeight="1" x14ac:dyDescent="0.3">
      <c r="A5" s="2"/>
      <c r="B5" s="10" t="s">
        <v>0</v>
      </c>
      <c r="C5" s="2"/>
      <c r="D5" s="98" t="s">
        <v>46</v>
      </c>
      <c r="E5" s="98"/>
      <c r="F5" s="98"/>
      <c r="G5" s="98"/>
      <c r="H5" s="98"/>
      <c r="I5" s="2"/>
      <c r="J5" s="62">
        <v>46174</v>
      </c>
      <c r="K5" s="2"/>
      <c r="L5" s="2"/>
      <c r="M5" s="2"/>
      <c r="N5" s="2"/>
      <c r="O5" s="2"/>
      <c r="P5" s="4"/>
      <c r="Q5" s="4"/>
      <c r="R5" s="4"/>
      <c r="S5" s="4"/>
    </row>
    <row r="6" spans="1:19" ht="15.75" customHeight="1" x14ac:dyDescent="0.3">
      <c r="A6" s="2"/>
      <c r="B6" s="10" t="s">
        <v>1</v>
      </c>
      <c r="C6" s="2"/>
      <c r="D6" s="98"/>
      <c r="E6" s="98"/>
      <c r="F6" s="98"/>
      <c r="G6" s="98"/>
      <c r="H6" s="98"/>
      <c r="I6" s="2"/>
      <c r="J6" s="63" t="s">
        <v>2</v>
      </c>
      <c r="K6" s="2"/>
      <c r="L6" s="2"/>
      <c r="M6" s="2"/>
      <c r="N6" s="2"/>
      <c r="O6" s="2"/>
      <c r="P6" s="4"/>
      <c r="Q6" s="4"/>
      <c r="R6" s="4"/>
      <c r="S6" s="4"/>
    </row>
    <row r="7" spans="1:19" ht="15.75" customHeight="1" x14ac:dyDescent="0.3">
      <c r="A7" s="2"/>
      <c r="B7" s="10"/>
      <c r="C7" s="2"/>
      <c r="D7" s="98"/>
      <c r="E7" s="98"/>
      <c r="F7" s="98"/>
      <c r="G7" s="98"/>
      <c r="H7" s="98"/>
      <c r="I7" s="2"/>
      <c r="J7" s="11"/>
      <c r="K7" s="2"/>
      <c r="L7" s="2"/>
      <c r="M7" s="2"/>
      <c r="N7" s="2"/>
      <c r="O7" s="2"/>
      <c r="P7" s="4"/>
      <c r="Q7" s="4"/>
      <c r="R7" s="4"/>
      <c r="S7" s="4"/>
    </row>
    <row r="8" spans="1:19" ht="15.75" customHeight="1" x14ac:dyDescent="0.3">
      <c r="A8" s="2"/>
      <c r="B8" s="10" t="s">
        <v>3</v>
      </c>
      <c r="C8" s="2"/>
      <c r="D8" s="2"/>
      <c r="E8" s="2"/>
      <c r="F8" s="2"/>
      <c r="G8" s="2"/>
      <c r="H8" s="2"/>
      <c r="I8" s="2"/>
      <c r="J8" s="47">
        <v>7500000</v>
      </c>
      <c r="K8" s="2"/>
      <c r="L8" s="2"/>
      <c r="M8" s="12"/>
      <c r="N8" s="2"/>
      <c r="O8" s="2"/>
      <c r="P8" s="4"/>
      <c r="Q8" s="4"/>
      <c r="R8" s="4"/>
      <c r="S8" s="4"/>
    </row>
    <row r="9" spans="1:19" ht="15.75" customHeight="1" x14ac:dyDescent="0.3">
      <c r="A9" s="2"/>
      <c r="B9" s="10" t="s">
        <v>4</v>
      </c>
      <c r="C9" s="2"/>
      <c r="D9" s="2"/>
      <c r="E9" s="2"/>
      <c r="F9" s="2"/>
      <c r="G9" s="2"/>
      <c r="H9" s="2"/>
      <c r="I9" s="2"/>
      <c r="J9" s="77">
        <f>J31</f>
        <v>2500000</v>
      </c>
      <c r="K9" s="2"/>
      <c r="L9" s="2"/>
      <c r="M9" s="96" t="s">
        <v>44</v>
      </c>
      <c r="N9" s="2"/>
      <c r="O9" s="2"/>
      <c r="P9" s="4"/>
      <c r="Q9" s="4"/>
      <c r="R9" s="4"/>
      <c r="S9" s="4"/>
    </row>
    <row r="10" spans="1:19" ht="15.75" customHeight="1" x14ac:dyDescent="0.3">
      <c r="A10" s="2"/>
      <c r="B10" s="10"/>
      <c r="C10" s="2"/>
      <c r="D10" s="2"/>
      <c r="E10" s="2"/>
      <c r="F10" s="2"/>
      <c r="G10" s="2"/>
      <c r="H10" s="2"/>
      <c r="I10" s="2"/>
      <c r="J10" s="13"/>
      <c r="K10" s="2"/>
      <c r="L10" s="2"/>
      <c r="M10" s="95" t="s">
        <v>43</v>
      </c>
      <c r="N10" s="2"/>
      <c r="O10" s="2"/>
      <c r="P10" s="4"/>
      <c r="Q10" s="4"/>
      <c r="R10" s="4"/>
      <c r="S10" s="4"/>
    </row>
    <row r="11" spans="1:19" ht="15.75" customHeight="1" x14ac:dyDescent="0.3">
      <c r="A11" s="2"/>
      <c r="B11" s="10" t="s">
        <v>5</v>
      </c>
      <c r="C11" s="2"/>
      <c r="D11" s="2"/>
      <c r="E11" s="2"/>
      <c r="F11" s="2"/>
      <c r="G11" s="2"/>
      <c r="H11" s="2"/>
      <c r="I11" s="2"/>
      <c r="J11" s="14">
        <f>+J8+J9</f>
        <v>10000000</v>
      </c>
      <c r="K11" s="2"/>
      <c r="L11" s="2"/>
      <c r="M11" s="97" t="s">
        <v>45</v>
      </c>
      <c r="N11" s="2"/>
      <c r="O11" s="2"/>
      <c r="P11" s="4"/>
      <c r="Q11" s="4"/>
      <c r="R11" s="4"/>
      <c r="S11" s="4"/>
    </row>
    <row r="12" spans="1:19" ht="15.75" customHeight="1" x14ac:dyDescent="0.3">
      <c r="A12" s="2"/>
      <c r="B12" s="10" t="s">
        <v>6</v>
      </c>
      <c r="C12" s="2"/>
      <c r="D12" s="2"/>
      <c r="E12" s="2"/>
      <c r="F12" s="2"/>
      <c r="G12" s="2"/>
      <c r="H12" s="2"/>
      <c r="I12" s="2"/>
      <c r="J12" s="15">
        <f>ROUND(J8/G35,5)</f>
        <v>0.65</v>
      </c>
      <c r="K12" s="2"/>
      <c r="L12" s="2"/>
      <c r="M12" s="2"/>
      <c r="N12" s="2"/>
      <c r="O12" s="2"/>
      <c r="P12" s="4"/>
      <c r="Q12" s="4"/>
      <c r="R12" s="4"/>
      <c r="S12" s="4"/>
    </row>
    <row r="13" spans="1:19" ht="15.75" customHeight="1" x14ac:dyDescent="0.3">
      <c r="A13" s="2"/>
      <c r="B13" s="10" t="s">
        <v>7</v>
      </c>
      <c r="C13" s="2"/>
      <c r="D13" s="2"/>
      <c r="E13" s="2"/>
      <c r="F13" s="2"/>
      <c r="G13" s="2"/>
      <c r="H13" s="2"/>
      <c r="I13" s="2"/>
      <c r="J13" s="16">
        <f>+J9/J11</f>
        <v>0.25</v>
      </c>
      <c r="K13" s="2"/>
      <c r="L13" s="2"/>
      <c r="M13" s="2"/>
      <c r="N13" s="2"/>
      <c r="O13" s="2"/>
      <c r="P13" s="4"/>
      <c r="Q13" s="4"/>
      <c r="R13" s="4"/>
      <c r="S13" s="4"/>
    </row>
    <row r="14" spans="1:19" ht="15.75" customHeight="1" x14ac:dyDescent="0.3">
      <c r="A14" s="2"/>
      <c r="B14" s="17" t="s">
        <v>34</v>
      </c>
      <c r="C14" s="2"/>
      <c r="D14" s="2"/>
      <c r="E14" s="2"/>
      <c r="F14" s="2"/>
      <c r="G14" s="2"/>
      <c r="H14" s="2"/>
      <c r="I14" s="2"/>
      <c r="J14" s="46">
        <v>0.1</v>
      </c>
      <c r="K14" s="59" t="s">
        <v>35</v>
      </c>
      <c r="L14" s="60" t="s">
        <v>42</v>
      </c>
      <c r="M14" s="2"/>
      <c r="N14" s="2"/>
      <c r="O14" s="2"/>
      <c r="P14" s="4"/>
      <c r="Q14" s="4"/>
      <c r="R14" s="4"/>
      <c r="S14" s="4"/>
    </row>
    <row r="15" spans="1:19" ht="15.75" customHeight="1" x14ac:dyDescent="0.3">
      <c r="A15" s="2"/>
      <c r="B15" s="2"/>
      <c r="C15" s="2"/>
      <c r="D15" s="18"/>
      <c r="E15" s="11"/>
      <c r="F15" s="2"/>
      <c r="G15" s="18"/>
      <c r="H15" s="11"/>
      <c r="I15" s="2"/>
      <c r="J15" s="11"/>
      <c r="K15" s="18"/>
      <c r="L15" s="18"/>
      <c r="M15" s="11"/>
      <c r="N15" s="11"/>
      <c r="O15" s="2"/>
      <c r="P15" s="4"/>
      <c r="Q15" s="4"/>
      <c r="R15" s="4"/>
      <c r="S15" s="4"/>
    </row>
    <row r="16" spans="1:19" ht="15.75" customHeight="1" x14ac:dyDescent="0.3">
      <c r="A16" s="2"/>
      <c r="B16" s="2"/>
      <c r="C16" s="2"/>
      <c r="D16" s="70" t="s">
        <v>8</v>
      </c>
      <c r="E16" s="71"/>
      <c r="F16" s="2"/>
      <c r="G16" s="70" t="s">
        <v>32</v>
      </c>
      <c r="H16" s="71"/>
      <c r="I16" s="3"/>
      <c r="J16" s="72"/>
      <c r="K16" s="73"/>
      <c r="L16" s="73"/>
      <c r="M16" s="73"/>
      <c r="N16" s="74"/>
      <c r="O16" s="3"/>
      <c r="P16" s="75" t="s">
        <v>31</v>
      </c>
      <c r="Q16" s="76"/>
      <c r="R16" s="76"/>
      <c r="S16" s="4"/>
    </row>
    <row r="17" spans="1:19" s="58" customFormat="1" ht="32.5" customHeight="1" x14ac:dyDescent="0.25">
      <c r="A17" s="49"/>
      <c r="B17" s="50" t="s">
        <v>9</v>
      </c>
      <c r="C17" s="49"/>
      <c r="D17" s="51" t="s">
        <v>10</v>
      </c>
      <c r="E17" s="52" t="s">
        <v>11</v>
      </c>
      <c r="F17" s="49"/>
      <c r="G17" s="51" t="s">
        <v>36</v>
      </c>
      <c r="H17" s="52" t="s">
        <v>37</v>
      </c>
      <c r="I17" s="53"/>
      <c r="J17" s="54" t="str">
        <f>"Actual ("&amp;J6&amp;")"</f>
        <v>Actual (£)</v>
      </c>
      <c r="K17" s="66" t="s">
        <v>12</v>
      </c>
      <c r="L17" s="66" t="s">
        <v>38</v>
      </c>
      <c r="M17" s="55" t="s">
        <v>13</v>
      </c>
      <c r="N17" s="56" t="s">
        <v>14</v>
      </c>
      <c r="O17" s="49"/>
      <c r="P17" s="51" t="s">
        <v>36</v>
      </c>
      <c r="Q17" s="55" t="s">
        <v>13</v>
      </c>
      <c r="R17" s="56" t="s">
        <v>14</v>
      </c>
      <c r="S17" s="57"/>
    </row>
    <row r="18" spans="1:19" ht="15.75" customHeight="1" x14ac:dyDescent="0.3">
      <c r="A18" s="2"/>
      <c r="B18" s="19" t="s">
        <v>41</v>
      </c>
      <c r="C18" s="2"/>
      <c r="D18" s="78">
        <v>5000000</v>
      </c>
      <c r="E18" s="20">
        <f>+D18/D$35</f>
        <v>0.5</v>
      </c>
      <c r="F18" s="2"/>
      <c r="G18" s="2"/>
      <c r="H18" s="2"/>
      <c r="I18" s="3"/>
      <c r="J18" s="82"/>
      <c r="K18" s="83"/>
      <c r="L18" s="83"/>
      <c r="M18" s="84">
        <f>D18+SUM(K18:L18)</f>
        <v>5000000</v>
      </c>
      <c r="N18" s="20">
        <f>M18/$M$35</f>
        <v>0.32500000812500018</v>
      </c>
      <c r="O18" s="2"/>
      <c r="P18" s="21"/>
      <c r="Q18" s="88">
        <f>M18</f>
        <v>5000000</v>
      </c>
      <c r="R18" s="22">
        <f>Q18/$Q$35</f>
        <v>0.32500000812500018</v>
      </c>
      <c r="S18" s="4"/>
    </row>
    <row r="19" spans="1:19" ht="15.75" customHeight="1" x14ac:dyDescent="0.3">
      <c r="A19" s="2"/>
      <c r="B19" s="19" t="s">
        <v>40</v>
      </c>
      <c r="C19" s="2"/>
      <c r="D19" s="78">
        <v>5000000</v>
      </c>
      <c r="E19" s="20">
        <f>+D19/D$35</f>
        <v>0.5</v>
      </c>
      <c r="F19" s="2"/>
      <c r="G19" s="2"/>
      <c r="H19" s="2"/>
      <c r="I19" s="3"/>
      <c r="J19" s="82"/>
      <c r="K19" s="83"/>
      <c r="L19" s="83"/>
      <c r="M19" s="84">
        <f>D19+SUM(K19:L19)</f>
        <v>5000000</v>
      </c>
      <c r="N19" s="20">
        <f>M19/$M$35</f>
        <v>0.32500000812500018</v>
      </c>
      <c r="O19" s="2"/>
      <c r="P19" s="21"/>
      <c r="Q19" s="88">
        <f t="shared" ref="Q19:Q29" si="0">M19</f>
        <v>5000000</v>
      </c>
      <c r="R19" s="22">
        <f>Q19/$Q$35</f>
        <v>0.32500000812500018</v>
      </c>
      <c r="S19" s="4"/>
    </row>
    <row r="20" spans="1:19" ht="15.75" customHeight="1" x14ac:dyDescent="0.3">
      <c r="A20" s="2"/>
      <c r="B20" s="23" t="s">
        <v>33</v>
      </c>
      <c r="C20" s="2"/>
      <c r="D20" s="90"/>
      <c r="E20" s="20"/>
      <c r="F20" s="2"/>
      <c r="G20" s="2"/>
      <c r="H20" s="2"/>
      <c r="I20" s="3"/>
      <c r="J20" s="64"/>
      <c r="K20" s="84"/>
      <c r="L20" s="84"/>
      <c r="M20" s="84"/>
      <c r="N20" s="20"/>
      <c r="O20" s="2"/>
      <c r="P20" s="21"/>
      <c r="Q20" s="88"/>
      <c r="R20" s="22"/>
      <c r="S20" s="4"/>
    </row>
    <row r="21" spans="1:19" ht="15.75" customHeight="1" x14ac:dyDescent="0.3">
      <c r="A21" s="2"/>
      <c r="B21" s="10" t="s">
        <v>21</v>
      </c>
      <c r="C21" s="2"/>
      <c r="D21" s="90"/>
      <c r="E21" s="24"/>
      <c r="F21" s="7"/>
      <c r="G21" s="2"/>
      <c r="H21" s="2" t="s">
        <v>15</v>
      </c>
      <c r="I21" s="7"/>
      <c r="J21" s="78">
        <v>1200000</v>
      </c>
      <c r="K21" s="84">
        <f>ROUND(J21/$J$12,0)</f>
        <v>1846154</v>
      </c>
      <c r="L21" s="84"/>
      <c r="M21" s="84">
        <f t="shared" ref="M21:M30" si="1">D21+SUM(K21:L21)</f>
        <v>1846154</v>
      </c>
      <c r="N21" s="20">
        <f t="shared" ref="N21:N30" si="2">M21/$M$35</f>
        <v>0.12000001300000032</v>
      </c>
      <c r="O21" s="2"/>
      <c r="P21" s="21"/>
      <c r="Q21" s="88">
        <f t="shared" si="0"/>
        <v>1846154</v>
      </c>
      <c r="R21" s="22">
        <f t="shared" ref="R21:R30" si="3">Q21/$Q$35</f>
        <v>0.12000001300000032</v>
      </c>
      <c r="S21" s="4"/>
    </row>
    <row r="22" spans="1:19" ht="15.75" customHeight="1" x14ac:dyDescent="0.3">
      <c r="A22" s="2"/>
      <c r="B22" s="10" t="s">
        <v>27</v>
      </c>
      <c r="C22" s="2"/>
      <c r="D22" s="82"/>
      <c r="E22" s="25"/>
      <c r="F22" s="2"/>
      <c r="G22" s="2"/>
      <c r="H22" s="2"/>
      <c r="I22" s="3"/>
      <c r="J22" s="78">
        <v>750000</v>
      </c>
      <c r="K22" s="84">
        <f t="shared" ref="K22:K24" si="4">ROUND(J22/$J$12,0)</f>
        <v>1153846</v>
      </c>
      <c r="L22" s="84"/>
      <c r="M22" s="84">
        <f t="shared" si="1"/>
        <v>1153846</v>
      </c>
      <c r="N22" s="20">
        <f t="shared" si="2"/>
        <v>7.4999991874999797E-2</v>
      </c>
      <c r="O22" s="2"/>
      <c r="P22" s="21"/>
      <c r="Q22" s="88">
        <f t="shared" si="0"/>
        <v>1153846</v>
      </c>
      <c r="R22" s="22">
        <f t="shared" si="3"/>
        <v>7.4999991874999797E-2</v>
      </c>
      <c r="S22" s="4"/>
    </row>
    <row r="23" spans="1:19" ht="15.75" customHeight="1" x14ac:dyDescent="0.3">
      <c r="A23" s="2"/>
      <c r="B23" s="10" t="s">
        <v>28</v>
      </c>
      <c r="C23" s="2"/>
      <c r="D23" s="91"/>
      <c r="E23" s="20"/>
      <c r="F23" s="2"/>
      <c r="G23" s="2"/>
      <c r="H23" s="2"/>
      <c r="I23" s="3"/>
      <c r="J23" s="78">
        <v>250000</v>
      </c>
      <c r="K23" s="84">
        <f t="shared" si="4"/>
        <v>384615</v>
      </c>
      <c r="L23" s="84"/>
      <c r="M23" s="84">
        <f t="shared" si="1"/>
        <v>384615</v>
      </c>
      <c r="N23" s="20">
        <f t="shared" si="2"/>
        <v>2.499997562499939E-2</v>
      </c>
      <c r="O23" s="2"/>
      <c r="P23" s="21"/>
      <c r="Q23" s="88">
        <f t="shared" si="0"/>
        <v>384615</v>
      </c>
      <c r="R23" s="22">
        <f t="shared" si="3"/>
        <v>2.499997562499939E-2</v>
      </c>
      <c r="S23" s="4"/>
    </row>
    <row r="24" spans="1:19" ht="15.75" customHeight="1" x14ac:dyDescent="0.3">
      <c r="A24" s="2"/>
      <c r="B24" s="10" t="s">
        <v>29</v>
      </c>
      <c r="C24" s="2"/>
      <c r="D24" s="91"/>
      <c r="E24" s="20"/>
      <c r="F24" s="2"/>
      <c r="G24" s="2"/>
      <c r="H24" s="2"/>
      <c r="I24" s="3"/>
      <c r="J24" s="78">
        <v>200000</v>
      </c>
      <c r="K24" s="84">
        <f t="shared" si="4"/>
        <v>307692</v>
      </c>
      <c r="L24" s="84"/>
      <c r="M24" s="84">
        <f t="shared" si="1"/>
        <v>307692</v>
      </c>
      <c r="N24" s="20">
        <f t="shared" si="2"/>
        <v>1.9999980499999511E-2</v>
      </c>
      <c r="O24" s="2"/>
      <c r="P24" s="21"/>
      <c r="Q24" s="88">
        <f t="shared" si="0"/>
        <v>307692</v>
      </c>
      <c r="R24" s="22">
        <f t="shared" si="3"/>
        <v>1.9999980499999511E-2</v>
      </c>
      <c r="S24" s="4"/>
    </row>
    <row r="25" spans="1:19" ht="15.75" customHeight="1" x14ac:dyDescent="0.3">
      <c r="A25" s="2"/>
      <c r="B25" s="10" t="s">
        <v>22</v>
      </c>
      <c r="C25" s="2"/>
      <c r="D25" s="82"/>
      <c r="E25" s="25"/>
      <c r="F25" s="2"/>
      <c r="G25" s="2"/>
      <c r="H25" s="2"/>
      <c r="I25" s="3"/>
      <c r="J25" s="78">
        <v>20000</v>
      </c>
      <c r="K25" s="85"/>
      <c r="L25" s="84">
        <f t="shared" ref="L25:L30" si="5">ROUND(J25/$J$12,0)</f>
        <v>30769</v>
      </c>
      <c r="M25" s="84">
        <f t="shared" si="1"/>
        <v>30769</v>
      </c>
      <c r="N25" s="20">
        <f t="shared" si="2"/>
        <v>1.9999850499996261E-3</v>
      </c>
      <c r="O25" s="2"/>
      <c r="P25" s="21"/>
      <c r="Q25" s="88">
        <f t="shared" si="0"/>
        <v>30769</v>
      </c>
      <c r="R25" s="22">
        <f t="shared" si="3"/>
        <v>1.9999850499996261E-3</v>
      </c>
      <c r="S25" s="4"/>
    </row>
    <row r="26" spans="1:19" ht="15.75" customHeight="1" x14ac:dyDescent="0.3">
      <c r="A26" s="2"/>
      <c r="B26" s="10" t="s">
        <v>23</v>
      </c>
      <c r="C26" s="26"/>
      <c r="D26" s="91"/>
      <c r="E26" s="20"/>
      <c r="F26" s="2"/>
      <c r="G26" s="2"/>
      <c r="H26" s="2"/>
      <c r="I26" s="3"/>
      <c r="J26" s="78">
        <v>20000</v>
      </c>
      <c r="K26" s="85"/>
      <c r="L26" s="84">
        <f t="shared" si="5"/>
        <v>30769</v>
      </c>
      <c r="M26" s="84">
        <f t="shared" si="1"/>
        <v>30769</v>
      </c>
      <c r="N26" s="20">
        <f t="shared" si="2"/>
        <v>1.9999850499996261E-3</v>
      </c>
      <c r="O26" s="2"/>
      <c r="P26" s="21"/>
      <c r="Q26" s="88">
        <f t="shared" si="0"/>
        <v>30769</v>
      </c>
      <c r="R26" s="22">
        <f t="shared" si="3"/>
        <v>1.9999850499996261E-3</v>
      </c>
      <c r="S26" s="4"/>
    </row>
    <row r="27" spans="1:19" ht="15.75" customHeight="1" x14ac:dyDescent="0.3">
      <c r="A27" s="2"/>
      <c r="B27" s="10" t="s">
        <v>24</v>
      </c>
      <c r="C27" s="2"/>
      <c r="D27" s="91"/>
      <c r="E27" s="20"/>
      <c r="F27" s="2"/>
      <c r="G27" s="2"/>
      <c r="H27" s="2"/>
      <c r="I27" s="3"/>
      <c r="J27" s="78">
        <v>20000</v>
      </c>
      <c r="K27" s="85"/>
      <c r="L27" s="84">
        <f t="shared" si="5"/>
        <v>30769</v>
      </c>
      <c r="M27" s="84">
        <f t="shared" si="1"/>
        <v>30769</v>
      </c>
      <c r="N27" s="20">
        <f t="shared" si="2"/>
        <v>1.9999850499996261E-3</v>
      </c>
      <c r="O27" s="2"/>
      <c r="P27" s="21"/>
      <c r="Q27" s="88">
        <f>M27</f>
        <v>30769</v>
      </c>
      <c r="R27" s="22">
        <f t="shared" si="3"/>
        <v>1.9999850499996261E-3</v>
      </c>
      <c r="S27" s="4"/>
    </row>
    <row r="28" spans="1:19" ht="15.75" customHeight="1" x14ac:dyDescent="0.3">
      <c r="A28" s="2"/>
      <c r="B28" s="10" t="s">
        <v>25</v>
      </c>
      <c r="C28" s="2"/>
      <c r="D28" s="91"/>
      <c r="E28" s="20"/>
      <c r="F28" s="2"/>
      <c r="G28" s="2"/>
      <c r="H28" s="2"/>
      <c r="I28" s="3"/>
      <c r="J28" s="78">
        <v>12500</v>
      </c>
      <c r="K28" s="85"/>
      <c r="L28" s="84">
        <f t="shared" si="5"/>
        <v>19231</v>
      </c>
      <c r="M28" s="84">
        <f t="shared" si="1"/>
        <v>19231</v>
      </c>
      <c r="N28" s="20">
        <f t="shared" si="2"/>
        <v>1.2500150312503757E-3</v>
      </c>
      <c r="O28" s="2"/>
      <c r="P28" s="21"/>
      <c r="Q28" s="88">
        <f>M28</f>
        <v>19231</v>
      </c>
      <c r="R28" s="22">
        <f t="shared" si="3"/>
        <v>1.2500150312503757E-3</v>
      </c>
      <c r="S28" s="4"/>
    </row>
    <row r="29" spans="1:19" ht="15.75" customHeight="1" x14ac:dyDescent="0.3">
      <c r="A29" s="2"/>
      <c r="B29" s="10" t="s">
        <v>26</v>
      </c>
      <c r="C29" s="2"/>
      <c r="D29" s="91"/>
      <c r="E29" s="20"/>
      <c r="F29" s="2"/>
      <c r="G29" s="2"/>
      <c r="H29" s="2"/>
      <c r="I29" s="3"/>
      <c r="J29" s="78">
        <v>10000</v>
      </c>
      <c r="K29" s="85"/>
      <c r="L29" s="84">
        <f t="shared" si="5"/>
        <v>15385</v>
      </c>
      <c r="M29" s="84">
        <f t="shared" si="1"/>
        <v>15385</v>
      </c>
      <c r="N29" s="20">
        <f t="shared" si="2"/>
        <v>1.0000250250006256E-3</v>
      </c>
      <c r="O29" s="2"/>
      <c r="P29" s="21"/>
      <c r="Q29" s="88">
        <f t="shared" si="0"/>
        <v>15385</v>
      </c>
      <c r="R29" s="22">
        <f t="shared" si="3"/>
        <v>1.0000250250006256E-3</v>
      </c>
      <c r="S29" s="4"/>
    </row>
    <row r="30" spans="1:19" ht="15.75" customHeight="1" x14ac:dyDescent="0.3">
      <c r="A30" s="2"/>
      <c r="B30" s="10" t="s">
        <v>30</v>
      </c>
      <c r="C30" s="2"/>
      <c r="D30" s="91"/>
      <c r="E30" s="20"/>
      <c r="F30" s="2"/>
      <c r="G30" s="2"/>
      <c r="H30" s="2"/>
      <c r="I30" s="3"/>
      <c r="J30" s="78">
        <v>17500</v>
      </c>
      <c r="K30" s="85"/>
      <c r="L30" s="84">
        <f t="shared" si="5"/>
        <v>26923</v>
      </c>
      <c r="M30" s="84">
        <f t="shared" si="1"/>
        <v>26923</v>
      </c>
      <c r="N30" s="20">
        <f t="shared" si="2"/>
        <v>1.7499950437498762E-3</v>
      </c>
      <c r="O30" s="2"/>
      <c r="P30" s="21"/>
      <c r="Q30" s="88">
        <f>M30</f>
        <v>26923</v>
      </c>
      <c r="R30" s="22">
        <f t="shared" si="3"/>
        <v>1.7499950437498762E-3</v>
      </c>
      <c r="S30" s="4"/>
    </row>
    <row r="31" spans="1:19" ht="15.75" customHeight="1" x14ac:dyDescent="0.3">
      <c r="A31" s="2"/>
      <c r="B31" s="27" t="s">
        <v>16</v>
      </c>
      <c r="C31" s="2"/>
      <c r="D31" s="65">
        <f>SUM(D18:D30)</f>
        <v>10000000</v>
      </c>
      <c r="E31" s="28">
        <f>SUM(E18:E30)</f>
        <v>1</v>
      </c>
      <c r="F31" s="2"/>
      <c r="G31" s="2"/>
      <c r="H31" s="2"/>
      <c r="I31" s="3"/>
      <c r="J31" s="65">
        <f>SUM(J21:J30)</f>
        <v>2500000</v>
      </c>
      <c r="K31" s="86">
        <f>SUM(K18:K30)</f>
        <v>3692307</v>
      </c>
      <c r="L31" s="86">
        <f>SUM(L18:L30)</f>
        <v>153846</v>
      </c>
      <c r="M31" s="87">
        <f>SUM(M18:M30)</f>
        <v>13846153</v>
      </c>
      <c r="N31" s="29">
        <f>SUM(N18:N30)</f>
        <v>0.89999996749999911</v>
      </c>
      <c r="O31" s="2"/>
      <c r="P31" s="30"/>
      <c r="Q31" s="89">
        <f>SUM(Q18:Q30)</f>
        <v>13846153</v>
      </c>
      <c r="R31" s="31">
        <f>SUM(R18:R30)</f>
        <v>0.89999996749999911</v>
      </c>
      <c r="S31" s="4"/>
    </row>
    <row r="32" spans="1:19" ht="15.75" customHeight="1" x14ac:dyDescent="0.3">
      <c r="A32" s="2"/>
      <c r="B32" s="2"/>
      <c r="C32" s="2"/>
      <c r="D32" s="92"/>
      <c r="E32" s="2"/>
      <c r="F32" s="2"/>
      <c r="G32" s="2"/>
      <c r="H32" s="2"/>
      <c r="I32" s="2"/>
      <c r="J32" s="2"/>
      <c r="K32" s="2"/>
      <c r="L32" s="3"/>
      <c r="M32" s="32"/>
      <c r="N32" s="32"/>
      <c r="O32" s="33"/>
      <c r="P32" s="4"/>
      <c r="Q32" s="88"/>
      <c r="R32" s="4"/>
      <c r="S32" s="4"/>
    </row>
    <row r="33" spans="1:19" ht="15.75" customHeight="1" x14ac:dyDescent="0.3">
      <c r="A33" s="2"/>
      <c r="B33" s="34" t="s">
        <v>17</v>
      </c>
      <c r="C33" s="2"/>
      <c r="D33" s="93"/>
      <c r="E33" s="35"/>
      <c r="F33" s="2"/>
      <c r="G33" s="36"/>
      <c r="H33" s="37"/>
      <c r="I33" s="2"/>
      <c r="J33" s="2"/>
      <c r="K33" s="2"/>
      <c r="L33" s="2"/>
      <c r="M33" s="38"/>
      <c r="N33" s="39"/>
      <c r="O33" s="2"/>
      <c r="P33" s="4"/>
      <c r="Q33" s="88"/>
      <c r="R33" s="4"/>
      <c r="S33" s="4"/>
    </row>
    <row r="34" spans="1:19" ht="15.75" customHeight="1" x14ac:dyDescent="0.3">
      <c r="A34" s="2"/>
      <c r="B34" s="40" t="s">
        <v>18</v>
      </c>
      <c r="C34" s="2"/>
      <c r="D34" s="94">
        <v>0</v>
      </c>
      <c r="E34" s="41">
        <v>0</v>
      </c>
      <c r="F34" s="2"/>
      <c r="G34" s="79">
        <f>ROUND(IF(L14="Pre",J14*D35*(J8+J9)/(J8-J14*(J8+J9)),0),0)</f>
        <v>1538462</v>
      </c>
      <c r="H34" s="48">
        <f>G34/G35</f>
        <v>0.13333336799999862</v>
      </c>
      <c r="I34" s="2"/>
      <c r="J34" s="2"/>
      <c r="K34" s="2"/>
      <c r="L34" s="2"/>
      <c r="M34" s="81">
        <f>G34</f>
        <v>1538462</v>
      </c>
      <c r="N34" s="41">
        <f>+$M$34/M35</f>
        <v>0.10000003250000081</v>
      </c>
      <c r="O34" s="2"/>
      <c r="P34" s="61">
        <f>ROUND(IF(L14="Post",M31*J14/(1-J14),0),0)</f>
        <v>0</v>
      </c>
      <c r="Q34" s="81">
        <f>M34+P34</f>
        <v>1538462</v>
      </c>
      <c r="R34" s="41">
        <f>Q34/Q35</f>
        <v>0.10000003250000081</v>
      </c>
      <c r="S34" s="4"/>
    </row>
    <row r="35" spans="1:19" ht="15.75" customHeight="1" x14ac:dyDescent="0.3">
      <c r="A35" s="2"/>
      <c r="B35" s="40" t="s">
        <v>19</v>
      </c>
      <c r="C35" s="2"/>
      <c r="D35" s="94">
        <f>D31+D34</f>
        <v>10000000</v>
      </c>
      <c r="E35" s="41">
        <f>E31+E34</f>
        <v>1</v>
      </c>
      <c r="F35" s="2"/>
      <c r="G35" s="80">
        <f>D35+G34</f>
        <v>11538462</v>
      </c>
      <c r="H35" s="42">
        <f>G35/SUM(G34:G35)</f>
        <v>0.88235291418685313</v>
      </c>
      <c r="I35" s="2"/>
      <c r="J35" s="2"/>
      <c r="K35" s="2"/>
      <c r="L35" s="2"/>
      <c r="M35" s="80">
        <f>M31+M34</f>
        <v>15384615</v>
      </c>
      <c r="N35" s="41">
        <f t="shared" ref="N35" si="6">N31+N34</f>
        <v>0.99999999999999989</v>
      </c>
      <c r="O35" s="2"/>
      <c r="P35" s="43"/>
      <c r="Q35" s="80">
        <f>Q31+Q34</f>
        <v>15384615</v>
      </c>
      <c r="R35" s="41">
        <f t="shared" ref="R35" si="7">R31+R34</f>
        <v>0.99999999999999989</v>
      </c>
      <c r="S35" s="4"/>
    </row>
    <row r="36" spans="1:19" ht="15.75" customHeight="1" x14ac:dyDescent="0.3">
      <c r="A36" s="2"/>
      <c r="B36" s="2"/>
      <c r="C36" s="2"/>
      <c r="D36" s="2"/>
      <c r="E36" s="44"/>
      <c r="F36" s="2"/>
      <c r="G36" s="2"/>
      <c r="H36" s="44"/>
      <c r="I36" s="2"/>
      <c r="J36" s="2"/>
      <c r="K36" s="2"/>
      <c r="L36" s="2"/>
      <c r="M36" s="2"/>
      <c r="N36" s="2"/>
      <c r="O36" s="2"/>
      <c r="P36" s="4"/>
      <c r="Q36" s="4"/>
      <c r="R36" s="4"/>
      <c r="S36" s="4"/>
    </row>
    <row r="37" spans="1:19" ht="15.75" customHeight="1" x14ac:dyDescent="0.3">
      <c r="A37" s="2"/>
      <c r="B37" s="2"/>
      <c r="C37" s="2"/>
      <c r="D37" s="2"/>
      <c r="E37" s="44"/>
      <c r="F37" s="2"/>
      <c r="G37" s="2"/>
      <c r="H37" s="44"/>
      <c r="I37" s="2"/>
      <c r="J37" s="2"/>
      <c r="K37" s="2"/>
      <c r="L37" s="2"/>
      <c r="M37" s="45"/>
      <c r="N37" s="2"/>
      <c r="O37" s="2"/>
      <c r="P37" s="4"/>
      <c r="Q37" s="4"/>
      <c r="R37" s="4"/>
      <c r="S37" s="4"/>
    </row>
    <row r="38" spans="1:19" ht="15.75" customHeight="1" x14ac:dyDescent="0.3">
      <c r="A38" s="2"/>
      <c r="B38" s="67" t="s">
        <v>39</v>
      </c>
      <c r="C38" s="67"/>
      <c r="D38" s="67"/>
      <c r="E38" s="67"/>
      <c r="F38" s="67"/>
      <c r="G38" s="67"/>
      <c r="H38" s="67"/>
      <c r="I38" s="67"/>
      <c r="J38" s="67"/>
      <c r="K38" s="67"/>
      <c r="L38" s="67"/>
      <c r="M38" s="67"/>
      <c r="N38" s="67"/>
      <c r="O38" s="67"/>
      <c r="P38" s="67"/>
      <c r="Q38" s="67"/>
      <c r="R38" s="67"/>
      <c r="S38" s="4"/>
    </row>
    <row r="39" spans="1:19" ht="15.75" customHeight="1" x14ac:dyDescent="0.3">
      <c r="A39" s="2"/>
      <c r="B39" s="67"/>
      <c r="C39" s="67"/>
      <c r="D39" s="67"/>
      <c r="E39" s="67"/>
      <c r="F39" s="67"/>
      <c r="G39" s="67"/>
      <c r="H39" s="67"/>
      <c r="I39" s="67"/>
      <c r="J39" s="67"/>
      <c r="K39" s="67"/>
      <c r="L39" s="67"/>
      <c r="M39" s="67"/>
      <c r="N39" s="67"/>
      <c r="O39" s="67"/>
      <c r="P39" s="67"/>
      <c r="Q39" s="67"/>
      <c r="R39" s="67"/>
      <c r="S39" s="4"/>
    </row>
    <row r="40" spans="1:19" ht="15.75" customHeight="1" x14ac:dyDescent="0.3"/>
    <row r="41" spans="1:19" ht="15.75" customHeight="1" x14ac:dyDescent="0.3"/>
    <row r="42" spans="1:19" ht="15.75" customHeight="1" x14ac:dyDescent="0.3"/>
    <row r="43" spans="1:19" ht="15.75" customHeight="1" x14ac:dyDescent="0.3"/>
    <row r="44" spans="1:19" ht="15.75" customHeight="1" x14ac:dyDescent="0.3"/>
    <row r="45" spans="1:19" ht="15.75" customHeight="1" x14ac:dyDescent="0.3"/>
    <row r="46" spans="1:19" ht="15.75" customHeight="1" x14ac:dyDescent="0.3"/>
    <row r="47" spans="1:19" ht="15.75" customHeight="1" x14ac:dyDescent="0.3"/>
    <row r="48" spans="1:19"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sheetData>
  <mergeCells count="7">
    <mergeCell ref="B38:R39"/>
    <mergeCell ref="B2:B3"/>
    <mergeCell ref="D16:E16"/>
    <mergeCell ref="G16:H16"/>
    <mergeCell ref="J16:N16"/>
    <mergeCell ref="P16:R16"/>
    <mergeCell ref="D5:H7"/>
  </mergeCells>
  <phoneticPr fontId="9" type="noConversion"/>
  <dataValidations count="1">
    <dataValidation type="list" allowBlank="1" showInputMessage="1" showErrorMessage="1" sqref="L14" xr:uid="{2976EF93-3246-42B4-9667-D17654739619}">
      <formula1>"Pre, Post"</formula1>
    </dataValidation>
  </dataValidations>
  <printOptions horizontalCentered="1" gridLines="1"/>
  <pageMargins left="0.7" right="0.7" top="0.75" bottom="0.75" header="0" footer="0"/>
  <pageSetup fitToHeight="0" pageOrder="overThenDown" orientation="landscape"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Seed Round Cap Table Model (Pre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Raxita</dc:creator>
  <cp:lastModifiedBy>Matt Gill</cp:lastModifiedBy>
  <dcterms:created xsi:type="dcterms:W3CDTF">2024-07-18T11:03:58Z</dcterms:created>
  <dcterms:modified xsi:type="dcterms:W3CDTF">2026-03-17T15:15:40Z</dcterms:modified>
</cp:coreProperties>
</file>